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0"/>
  </bookViews>
  <sheets>
    <sheet name="Додаток3" sheetId="1" r:id="rId1"/>
  </sheets>
  <definedNames>
    <definedName name="_xlnm.Print_Area" localSheetId="0">'Додаток3'!$A$2:$P$104</definedName>
    <definedName name="_xlnm.Print_Titles" localSheetId="0">'Додаток3'!$12:$12</definedName>
    <definedName name="OLE_LINK1_1">'Додаток3'!$D$82</definedName>
    <definedName name="С77">#REF!</definedName>
  </definedNames>
  <calcPr fullCalcOnLoad="1"/>
</workbook>
</file>

<file path=xl/sharedStrings.xml><?xml version="1.0" encoding="utf-8"?>
<sst xmlns="http://schemas.openxmlformats.org/spreadsheetml/2006/main" count="273" uniqueCount="217">
  <si>
    <t>Додаток 1</t>
  </si>
  <si>
    <t xml:space="preserve">до розпорядження голови районної ради </t>
  </si>
  <si>
    <t>ЗМІНИ</t>
  </si>
  <si>
    <t>до додатка 3  "Розподіл видатків районного бюджету на 2019 рік"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</si>
  <si>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</si>
  <si>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</si>
  <si>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</si>
  <si>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</si>
  <si>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</si>
  <si>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</si>
  <si>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</si>
  <si>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</si>
  <si>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</si>
  <si>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</si>
  <si>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</si>
  <si>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</si>
  <si>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</si>
  <si>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видатки споживанняя</t>
  </si>
  <si>
    <t>оплата праці</t>
  </si>
  <si>
    <t>комунальні послуги та енергоносії</t>
  </si>
  <si>
    <t>комунальні послуги та енергносії</t>
  </si>
  <si>
    <t>0100000</t>
  </si>
  <si>
    <t xml:space="preserve">Районна 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</si>
  <si>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</si>
  <si>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</si>
  <si>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</si>
  <si>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</si>
  <si>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</si>
  <si>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</si>
  <si>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 xml:space="preserve">Райдержадміністрація 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</si>
  <si>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</si>
  <si>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</si>
  <si>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</si>
  <si>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</si>
  <si>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</si>
  <si>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у тому числі:</t>
  </si>
  <si>
    <t>за рахунок субвенції з державного бюджету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</si>
  <si>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</si>
  <si>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</si>
  <si>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</si>
  <si>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</si>
  <si>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</si>
  <si>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</si>
  <si>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</si>
  <si>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</si>
  <si>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</si>
  <si>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</si>
  <si>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</si>
  <si>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</si>
  <si>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</si>
  <si>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</si>
  <si>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</si>
  <si>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</si>
  <si>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</si>
  <si>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</si>
  <si>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</si>
  <si>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</si>
  <si>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</si>
  <si>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</si>
  <si>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</si>
  <si>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</si>
  <si>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</si>
  <si>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</si>
  <si>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</si>
  <si>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</si>
  <si>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</si>
  <si>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</si>
  <si>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0217130</t>
  </si>
  <si>
    <t>7130</t>
  </si>
  <si>
    <t>0421</t>
  </si>
  <si>
    <t>Здійснення  заходів із землеустрою</t>
  </si>
  <si>
    <t>0217364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</si>
  <si>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</si>
  <si>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</si>
  <si>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027520</t>
  </si>
  <si>
    <t>7520</t>
  </si>
  <si>
    <t>0460</t>
  </si>
  <si>
    <t>Реалізація Національної програми інформатизації</t>
  </si>
  <si>
    <t>0219770</t>
  </si>
  <si>
    <t>0180</t>
  </si>
  <si>
    <t>Інші субвенції з місцевого бюджету в т.ч.</t>
  </si>
  <si>
    <t xml:space="preserve">на проведення гістологічних   досліджень 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</si>
  <si>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</si>
  <si>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 xml:space="preserve">на заходи та роботи з територіальної оборони та мобілізаційної підготовки місцевого значення </t>
  </si>
  <si>
    <t>0219800</t>
  </si>
  <si>
    <t>9800</t>
  </si>
  <si>
    <t>субвенцію з місцевого бюджету державному бюджету на виконання програм соціально-економічного розвитку регіонів</t>
  </si>
  <si>
    <t>0600000</t>
  </si>
  <si>
    <t>Відділ освіти райдержадміністрації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</si>
  <si>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</si>
  <si>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</si>
  <si>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</si>
  <si>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</si>
  <si>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</si>
  <si>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</si>
  <si>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</si>
  <si>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</si>
  <si>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</si>
  <si>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</si>
  <si>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</si>
  <si>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</si>
  <si>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</si>
  <si>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</si>
  <si>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</si>
  <si>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</si>
  <si>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</si>
  <si>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</si>
  <si>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</si>
  <si>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</si>
  <si>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</si>
  <si>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</si>
  <si>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</si>
  <si>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</si>
  <si>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</si>
  <si>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</si>
  <si>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</si>
  <si>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</si>
  <si>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0617321</t>
  </si>
  <si>
    <t>Будівництво освітніх установ та закладів</t>
  </si>
  <si>
    <t>0617364</t>
  </si>
  <si>
    <t>0800000</t>
  </si>
  <si>
    <t>Управління    соціального  захисту населення райдержадміністрації</t>
  </si>
  <si>
    <t>0810000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</si>
  <si>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</si>
  <si>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</si>
  <si>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0813011</t>
  </si>
  <si>
    <t>3011</t>
  </si>
  <si>
    <t>1030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</si>
  <si>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</si>
  <si>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</si>
  <si>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</si>
  <si>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</si>
  <si>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</si>
  <si>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</si>
  <si>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</si>
  <si>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</si>
  <si>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</si>
  <si>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</si>
  <si>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</si>
  <si>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</si>
  <si>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</si>
  <si>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</si>
  <si>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</si>
  <si>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</si>
  <si>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</si>
  <si>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</si>
  <si>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</si>
  <si>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</si>
  <si>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</si>
  <si>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</si>
  <si>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</si>
  <si>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</si>
  <si>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</si>
  <si>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</si>
  <si>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</si>
  <si>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</si>
  <si>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сім'ям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</si>
  <si>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</si>
  <si>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</si>
  <si>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</si>
  <si>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</si>
  <si>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</si>
  <si>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</si>
  <si>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</si>
  <si>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</si>
  <si>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</si>
  <si>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інвалідами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</si>
  <si>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</si>
  <si>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</si>
  <si>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</si>
  <si>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</si>
  <si>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</si>
  <si>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щорічної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</si>
  <si>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0813087</t>
  </si>
  <si>
    <t>3087</t>
  </si>
  <si>
    <t>Надання допомоги на дітей, які виховуються у багатодітних сім'ях</t>
  </si>
  <si>
    <t>0813242</t>
  </si>
  <si>
    <t>3242</t>
  </si>
  <si>
    <t>Інші заходи у сфері соціального захисту і соціального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</si>
  <si>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</si>
  <si>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</si>
  <si>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</si>
  <si>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</si>
  <si>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</si>
  <si>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</si>
  <si>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</si>
  <si>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</si>
  <si>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</si>
  <si>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</si>
  <si>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0817323</t>
  </si>
  <si>
    <t>7323</t>
  </si>
  <si>
    <t>Будівництво  установ та закладів соціальної сфери</t>
  </si>
  <si>
    <t>1000000</t>
  </si>
  <si>
    <t>Відділ культури, туризму, національностей та релігій райдержадміністрації</t>
  </si>
  <si>
    <t>1010000</t>
  </si>
  <si>
    <t>1014040</t>
  </si>
  <si>
    <t>4040</t>
  </si>
  <si>
    <t>0824</t>
  </si>
  <si>
    <t>Забезпечення діяльності музеїв i виставок</t>
  </si>
  <si>
    <t>0829</t>
  </si>
  <si>
    <t xml:space="preserve">Забезпечення діяльності інших закладів в галузі культури і мистецтва 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</si>
  <si>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</si>
  <si>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Фінансове управління райдержадміністрації</t>
  </si>
  <si>
    <t>3710000</t>
  </si>
  <si>
    <t>3719770</t>
  </si>
  <si>
    <t>9770</t>
  </si>
  <si>
    <t>Інші субвенції з місцевого бюджету в т. ч. з обласного бюджету</t>
  </si>
  <si>
    <t xml:space="preserve">Інші субвенції з місцевого бюджету в т. ч. </t>
  </si>
  <si>
    <t>субвенція Приміській сільській раді для придбання радіосистеми та ноутбуку для Приміського сільськго будинку культури</t>
  </si>
  <si>
    <t xml:space="preserve">Інші дотації з місцевого бюджету 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</si>
  <si>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</si>
  <si>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0133</t>
  </si>
  <si>
    <t>Нерозподілені трансферти з державного бюджету</t>
  </si>
  <si>
    <t>Резервний фонд</t>
  </si>
  <si>
    <t>РАЗОМ ВИДАТКІВ</t>
  </si>
  <si>
    <t>Заступник голови районної ради</t>
  </si>
  <si>
    <t>В. ЄВТУШЕНКО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</si>
</sst>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р_._-;\-* #,##0.00_р_._-;_-* \-??_р_._-;_-@_-"/>
    <numFmt numFmtId="166" formatCode="#,##0.00"/>
    <numFmt numFmtId="167" formatCode="@"/>
    <numFmt numFmtId="168" formatCode="_-* #,##0.00\ _₽_-;\-* #,##0.00\ _₽_-;_-* \-??\ _₽_-;_-@_-"/>
    <numFmt numFmtId="169" formatCode="#,##0"/>
    <numFmt numFmtId="170" formatCode="#,##0.0"/>
    <numFmt numFmtId="171" formatCode="0.00"/>
    <numFmt numFmtId="172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i/>
      <sz val="8"/>
      <name val="Verdana"/>
      <family val="2"/>
    </font>
    <font>
      <b/>
      <i/>
      <u val="single"/>
      <sz val="8"/>
      <name val="Verdana"/>
      <family val="2"/>
    </font>
    <font>
      <b/>
      <sz val="8"/>
      <color indexed="10"/>
      <name val="Verdana"/>
      <family val="2"/>
    </font>
    <font>
      <b/>
      <i/>
      <sz val="8"/>
      <name val="Verdana"/>
      <family val="2"/>
    </font>
    <font>
      <b/>
      <sz val="8"/>
      <color indexed="8"/>
      <name val="Verdana"/>
      <family val="2"/>
    </font>
    <font>
      <u val="single"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34">
    <xf numFmtId="164" fontId="0" fillId="0" borderId="0" xfId="0" applyAlignment="1">
      <alignment/>
    </xf>
    <xf numFmtId="164" fontId="19" fillId="0" borderId="0" xfId="0" applyFont="1" applyFill="1" applyAlignment="1">
      <alignment horizontal="center"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 horizontal="left" indent="3"/>
    </xf>
    <xf numFmtId="164" fontId="19" fillId="0" borderId="0" xfId="0" applyFont="1" applyFill="1" applyAlignment="1">
      <alignment horizontal="left" indent="3"/>
    </xf>
    <xf numFmtId="164" fontId="19" fillId="0" borderId="0" xfId="0" applyFont="1" applyFill="1" applyBorder="1" applyAlignment="1">
      <alignment horizontal="left" wrapText="1"/>
    </xf>
    <xf numFmtId="165" fontId="19" fillId="0" borderId="0" xfId="0" applyNumberFormat="1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Border="1" applyAlignment="1">
      <alignment horizontal="left" wrapText="1"/>
    </xf>
    <xf numFmtId="166" fontId="20" fillId="0" borderId="0" xfId="0" applyNumberFormat="1" applyFont="1" applyFill="1" applyAlignment="1">
      <alignment vertical="center" wrapText="1"/>
    </xf>
    <xf numFmtId="166" fontId="20" fillId="0" borderId="0" xfId="0" applyNumberFormat="1" applyFont="1" applyFill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5" fontId="20" fillId="0" borderId="0" xfId="0" applyNumberFormat="1" applyFont="1" applyAlignment="1">
      <alignment wrapText="1"/>
    </xf>
    <xf numFmtId="164" fontId="20" fillId="0" borderId="0" xfId="0" applyFont="1" applyAlignment="1">
      <alignment wrapText="1"/>
    </xf>
    <xf numFmtId="167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vertical="center" wrapText="1"/>
    </xf>
    <xf numFmtId="164" fontId="20" fillId="0" borderId="0" xfId="0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vertical="center"/>
    </xf>
    <xf numFmtId="164" fontId="19" fillId="0" borderId="0" xfId="0" applyFont="1" applyFill="1" applyAlignment="1">
      <alignment vertical="center"/>
    </xf>
    <xf numFmtId="164" fontId="20" fillId="24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0" xfId="0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vertical="center" wrapText="1"/>
    </xf>
    <xf numFmtId="164" fontId="19" fillId="0" borderId="0" xfId="0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167" fontId="20" fillId="0" borderId="10" xfId="0" applyNumberFormat="1" applyFont="1" applyFill="1" applyBorder="1" applyAlignment="1">
      <alignment horizontal="center" vertical="center" wrapText="1"/>
    </xf>
    <xf numFmtId="167" fontId="20" fillId="24" borderId="10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left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left" vertical="center" wrapText="1"/>
    </xf>
    <xf numFmtId="166" fontId="19" fillId="0" borderId="10" xfId="0" applyNumberFormat="1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 wrapText="1"/>
    </xf>
    <xf numFmtId="166" fontId="20" fillId="24" borderId="10" xfId="0" applyNumberFormat="1" applyFont="1" applyFill="1" applyBorder="1" applyAlignment="1">
      <alignment horizontal="center" vertical="center"/>
    </xf>
    <xf numFmtId="165" fontId="20" fillId="24" borderId="0" xfId="0" applyNumberFormat="1" applyFont="1" applyFill="1" applyAlignment="1">
      <alignment vertical="center"/>
    </xf>
    <xf numFmtId="168" fontId="20" fillId="24" borderId="0" xfId="0" applyNumberFormat="1" applyFont="1" applyFill="1" applyAlignment="1">
      <alignment vertical="center"/>
    </xf>
    <xf numFmtId="164" fontId="20" fillId="24" borderId="0" xfId="0" applyFont="1" applyFill="1" applyAlignment="1">
      <alignment vertical="center"/>
    </xf>
    <xf numFmtId="165" fontId="21" fillId="24" borderId="0" xfId="0" applyNumberFormat="1" applyFont="1" applyFill="1" applyBorder="1" applyAlignment="1">
      <alignment vertical="center"/>
    </xf>
    <xf numFmtId="165" fontId="20" fillId="24" borderId="0" xfId="0" applyNumberFormat="1" applyFont="1" applyFill="1" applyBorder="1" applyAlignment="1">
      <alignment vertical="center"/>
    </xf>
    <xf numFmtId="164" fontId="20" fillId="24" borderId="0" xfId="0" applyFont="1" applyFill="1" applyBorder="1" applyAlignment="1">
      <alignment vertical="center"/>
    </xf>
    <xf numFmtId="167" fontId="19" fillId="24" borderId="10" xfId="0" applyNumberFormat="1" applyFont="1" applyFill="1" applyBorder="1" applyAlignment="1">
      <alignment horizontal="center" vertical="center" wrapText="1"/>
    </xf>
    <xf numFmtId="167" fontId="19" fillId="24" borderId="10" xfId="0" applyNumberFormat="1" applyFont="1" applyFill="1" applyBorder="1" applyAlignment="1">
      <alignment horizontal="left" vertical="center" wrapText="1"/>
    </xf>
    <xf numFmtId="166" fontId="19" fillId="24" borderId="10" xfId="0" applyNumberFormat="1" applyFont="1" applyFill="1" applyBorder="1" applyAlignment="1">
      <alignment horizontal="center" vertical="center"/>
    </xf>
    <xf numFmtId="165" fontId="22" fillId="24" borderId="0" xfId="0" applyNumberFormat="1" applyFont="1" applyFill="1" applyAlignment="1">
      <alignment vertical="center"/>
    </xf>
    <xf numFmtId="164" fontId="22" fillId="24" borderId="0" xfId="0" applyFont="1" applyFill="1" applyAlignment="1">
      <alignment vertical="center"/>
    </xf>
    <xf numFmtId="165" fontId="19" fillId="24" borderId="0" xfId="0" applyNumberFormat="1" applyFont="1" applyFill="1" applyAlignment="1">
      <alignment vertical="center"/>
    </xf>
    <xf numFmtId="164" fontId="19" fillId="24" borderId="0" xfId="0" applyFont="1" applyFill="1" applyAlignment="1">
      <alignment vertical="center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19" fillId="24" borderId="11" xfId="0" applyNumberFormat="1" applyFont="1" applyFill="1" applyBorder="1" applyAlignment="1">
      <alignment horizontal="center" vertical="center" wrapText="1"/>
    </xf>
    <xf numFmtId="167" fontId="19" fillId="24" borderId="11" xfId="0" applyNumberFormat="1" applyFont="1" applyFill="1" applyBorder="1" applyAlignment="1">
      <alignment horizontal="left" vertical="center" wrapText="1"/>
    </xf>
    <xf numFmtId="164" fontId="19" fillId="24" borderId="11" xfId="0" applyFont="1" applyFill="1" applyBorder="1" applyAlignment="1">
      <alignment vertical="center" wrapText="1"/>
    </xf>
    <xf numFmtId="166" fontId="19" fillId="24" borderId="10" xfId="0" applyNumberFormat="1" applyFont="1" applyFill="1" applyBorder="1" applyAlignment="1">
      <alignment horizontal="center" vertical="center" wrapText="1"/>
    </xf>
    <xf numFmtId="165" fontId="22" fillId="24" borderId="0" xfId="0" applyNumberFormat="1" applyFont="1" applyFill="1" applyBorder="1" applyAlignment="1">
      <alignment vertical="center"/>
    </xf>
    <xf numFmtId="164" fontId="22" fillId="24" borderId="0" xfId="0" applyFont="1" applyFill="1" applyBorder="1" applyAlignment="1">
      <alignment vertical="center"/>
    </xf>
    <xf numFmtId="164" fontId="19" fillId="24" borderId="10" xfId="0" applyFont="1" applyFill="1" applyBorder="1" applyAlignment="1">
      <alignment horizontal="center" vertical="center" wrapText="1"/>
    </xf>
    <xf numFmtId="164" fontId="19" fillId="24" borderId="10" xfId="0" applyFont="1" applyFill="1" applyBorder="1" applyAlignment="1">
      <alignment horizontal="left" vertical="center" wrapText="1"/>
    </xf>
    <xf numFmtId="164" fontId="20" fillId="24" borderId="10" xfId="0" applyFont="1" applyFill="1" applyBorder="1" applyAlignment="1">
      <alignment horizontal="center" vertical="center" wrapText="1"/>
    </xf>
    <xf numFmtId="168" fontId="20" fillId="24" borderId="0" xfId="0" applyNumberFormat="1" applyFont="1" applyFill="1" applyBorder="1" applyAlignment="1">
      <alignment vertical="center"/>
    </xf>
    <xf numFmtId="165" fontId="20" fillId="24" borderId="0" xfId="0" applyNumberFormat="1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164" fontId="23" fillId="0" borderId="0" xfId="0" applyFont="1" applyFill="1" applyAlignment="1">
      <alignment horizontal="center" vertical="center"/>
    </xf>
    <xf numFmtId="167" fontId="19" fillId="0" borderId="10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19" fillId="0" borderId="10" xfId="0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5" fontId="19" fillId="24" borderId="0" xfId="0" applyNumberFormat="1" applyFont="1" applyFill="1" applyBorder="1" applyAlignment="1">
      <alignment vertical="center"/>
    </xf>
    <xf numFmtId="165" fontId="19" fillId="24" borderId="0" xfId="0" applyNumberFormat="1" applyFont="1" applyFill="1" applyAlignment="1">
      <alignment horizontal="center" vertical="center"/>
    </xf>
    <xf numFmtId="164" fontId="19" fillId="24" borderId="0" xfId="0" applyFont="1" applyFill="1" applyBorder="1" applyAlignment="1">
      <alignment vertical="center"/>
    </xf>
    <xf numFmtId="165" fontId="20" fillId="24" borderId="0" xfId="0" applyNumberFormat="1" applyFont="1" applyFill="1" applyAlignment="1">
      <alignment horizontal="center" vertical="center"/>
    </xf>
    <xf numFmtId="166" fontId="19" fillId="24" borderId="10" xfId="0" applyNumberFormat="1" applyFont="1" applyFill="1" applyBorder="1" applyAlignment="1">
      <alignment horizontal="left" vertical="center"/>
    </xf>
    <xf numFmtId="166" fontId="20" fillId="24" borderId="12" xfId="0" applyNumberFormat="1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166" fontId="19" fillId="24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center" vertical="center" wrapText="1"/>
    </xf>
    <xf numFmtId="165" fontId="27" fillId="24" borderId="0" xfId="0" applyNumberFormat="1" applyFont="1" applyFill="1" applyBorder="1" applyAlignment="1">
      <alignment vertical="center"/>
    </xf>
    <xf numFmtId="164" fontId="27" fillId="24" borderId="0" xfId="0" applyFont="1" applyFill="1" applyBorder="1" applyAlignment="1">
      <alignment vertical="center"/>
    </xf>
    <xf numFmtId="164" fontId="27" fillId="24" borderId="0" xfId="0" applyFont="1" applyFill="1" applyAlignment="1">
      <alignment vertical="center"/>
    </xf>
    <xf numFmtId="170" fontId="19" fillId="24" borderId="10" xfId="0" applyNumberFormat="1" applyFont="1" applyFill="1" applyBorder="1" applyAlignment="1">
      <alignment horizontal="center" vertical="center" wrapText="1"/>
    </xf>
    <xf numFmtId="166" fontId="25" fillId="24" borderId="10" xfId="0" applyNumberFormat="1" applyFont="1" applyFill="1" applyBorder="1" applyAlignment="1">
      <alignment horizontal="center" vertical="center"/>
    </xf>
    <xf numFmtId="166" fontId="25" fillId="24" borderId="10" xfId="0" applyNumberFormat="1" applyFont="1" applyFill="1" applyBorder="1" applyAlignment="1">
      <alignment horizontal="center" vertical="center" wrapText="1"/>
    </xf>
    <xf numFmtId="165" fontId="28" fillId="24" borderId="0" xfId="0" applyNumberFormat="1" applyFont="1" applyFill="1" applyBorder="1" applyAlignment="1">
      <alignment vertical="center"/>
    </xf>
    <xf numFmtId="164" fontId="28" fillId="24" borderId="0" xfId="0" applyFont="1" applyFill="1" applyBorder="1" applyAlignment="1">
      <alignment vertical="center"/>
    </xf>
    <xf numFmtId="164" fontId="25" fillId="24" borderId="10" xfId="0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164" fontId="20" fillId="0" borderId="0" xfId="0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/>
    </xf>
    <xf numFmtId="171" fontId="19" fillId="0" borderId="0" xfId="0" applyNumberFormat="1" applyFont="1" applyBorder="1" applyAlignment="1">
      <alignment vertical="center" wrapText="1"/>
    </xf>
    <xf numFmtId="168" fontId="29" fillId="0" borderId="0" xfId="0" applyNumberFormat="1" applyFont="1" applyBorder="1" applyAlignment="1">
      <alignment/>
    </xf>
    <xf numFmtId="166" fontId="20" fillId="0" borderId="0" xfId="0" applyNumberFormat="1" applyFont="1" applyFill="1" applyBorder="1" applyAlignment="1">
      <alignment vertical="center"/>
    </xf>
    <xf numFmtId="164" fontId="19" fillId="0" borderId="0" xfId="0" applyFont="1" applyAlignment="1">
      <alignment/>
    </xf>
    <xf numFmtId="166" fontId="19" fillId="0" borderId="0" xfId="0" applyNumberFormat="1" applyFont="1" applyAlignment="1">
      <alignment/>
    </xf>
    <xf numFmtId="164" fontId="19" fillId="0" borderId="0" xfId="0" applyFont="1" applyFill="1" applyAlignment="1">
      <alignment horizontal="left"/>
    </xf>
    <xf numFmtId="170" fontId="20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Alignment="1">
      <alignment/>
    </xf>
    <xf numFmtId="170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70" fontId="19" fillId="0" borderId="0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vertical="center" wrapText="1"/>
    </xf>
    <xf numFmtId="172" fontId="19" fillId="0" borderId="0" xfId="0" applyNumberFormat="1" applyFont="1" applyFill="1" applyBorder="1" applyAlignment="1">
      <alignment horizontal="center" vertical="center"/>
    </xf>
    <xf numFmtId="170" fontId="30" fillId="0" borderId="0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vertical="center"/>
    </xf>
    <xf numFmtId="164" fontId="24" fillId="0" borderId="0" xfId="0" applyFont="1" applyFill="1" applyBorder="1" applyAlignment="1">
      <alignment vertical="center"/>
    </xf>
    <xf numFmtId="164" fontId="24" fillId="0" borderId="0" xfId="0" applyFont="1" applyFill="1" applyBorder="1" applyAlignment="1" applyProtection="1">
      <alignment horizontal="left" vertical="center" wrapText="1"/>
      <protection/>
    </xf>
    <xf numFmtId="164" fontId="24" fillId="0" borderId="0" xfId="0" applyFont="1" applyFill="1" applyBorder="1" applyAlignment="1">
      <alignment horizontal="left" vertical="center" wrapText="1"/>
    </xf>
    <xf numFmtId="170" fontId="24" fillId="0" borderId="0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2"/>
  <sheetViews>
    <sheetView tabSelected="1" view="pageBreakPreview" zoomScale="88" zoomScaleNormal="50" zoomScaleSheetLayoutView="88" workbookViewId="0" topLeftCell="A2">
      <selection activeCell="E4" sqref="E4"/>
    </sheetView>
  </sheetViews>
  <sheetFormatPr defaultColWidth="9.00390625" defaultRowHeight="12.75"/>
  <cols>
    <col min="1" max="1" width="14.125" style="1" customWidth="1"/>
    <col min="2" max="2" width="9.125" style="1" customWidth="1"/>
    <col min="3" max="3" width="9.375" style="1" customWidth="1"/>
    <col min="4" max="4" width="53.125" style="2" customWidth="1"/>
    <col min="5" max="5" width="20.00390625" style="3" customWidth="1"/>
    <col min="6" max="6" width="19.25390625" style="3" customWidth="1"/>
    <col min="7" max="7" width="17.25390625" style="3" customWidth="1"/>
    <col min="8" max="8" width="16.875" style="3" customWidth="1"/>
    <col min="9" max="9" width="14.625" style="3" customWidth="1"/>
    <col min="10" max="10" width="17.125" style="3" customWidth="1"/>
    <col min="11" max="11" width="16.25390625" style="3" customWidth="1"/>
    <col min="12" max="12" width="15.375" style="3" customWidth="1"/>
    <col min="13" max="14" width="13.875" style="3" customWidth="1"/>
    <col min="15" max="15" width="16.375" style="3" customWidth="1"/>
    <col min="16" max="16" width="17.875" style="3" customWidth="1"/>
    <col min="17" max="17" width="31.625" style="4" customWidth="1"/>
    <col min="18" max="18" width="24.75390625" style="5" customWidth="1"/>
    <col min="19" max="20" width="9.125" style="5" customWidth="1"/>
    <col min="21" max="21" width="69.75390625" style="5" customWidth="1"/>
    <col min="22" max="16384" width="9.125" style="5" customWidth="1"/>
  </cols>
  <sheetData>
    <row r="1" ht="12.75" customHeight="1" hidden="1"/>
    <row r="2" spans="7:20" ht="19.5" customHeight="1">
      <c r="G2" s="6"/>
      <c r="H2" s="7"/>
      <c r="I2" s="8"/>
      <c r="J2" s="8"/>
      <c r="K2" s="8"/>
      <c r="L2" s="8"/>
      <c r="M2" s="8"/>
      <c r="N2" s="6"/>
      <c r="O2" s="9"/>
      <c r="P2" s="9"/>
      <c r="Q2" s="10"/>
      <c r="R2" s="3"/>
      <c r="S2" s="3"/>
      <c r="T2" s="3"/>
    </row>
    <row r="3" spans="7:20" ht="19.5" customHeight="1">
      <c r="G3" s="6"/>
      <c r="H3" s="8"/>
      <c r="I3" s="8"/>
      <c r="J3" s="8"/>
      <c r="K3" s="8"/>
      <c r="L3" s="8"/>
      <c r="M3" s="8"/>
      <c r="N3" s="6"/>
      <c r="O3" s="9" t="s">
        <v>0</v>
      </c>
      <c r="P3" s="9"/>
      <c r="Q3" s="10"/>
      <c r="R3" s="3"/>
      <c r="S3" s="3"/>
      <c r="T3" s="3"/>
    </row>
    <row r="4" spans="1:20" ht="38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1</v>
      </c>
      <c r="P4" s="12"/>
      <c r="Q4" s="10"/>
      <c r="R4" s="3"/>
      <c r="S4" s="3"/>
      <c r="T4" s="3"/>
    </row>
    <row r="5" spans="1:20" ht="4.5" customHeight="1">
      <c r="A5" s="11"/>
      <c r="B5" s="11"/>
      <c r="C5" s="11"/>
      <c r="D5" s="11"/>
      <c r="E5" s="11"/>
      <c r="F5" s="11"/>
      <c r="G5" s="11"/>
      <c r="H5" s="13"/>
      <c r="I5" s="13"/>
      <c r="J5" s="11"/>
      <c r="K5" s="11"/>
      <c r="L5" s="11"/>
      <c r="M5" s="11"/>
      <c r="N5" s="11"/>
      <c r="O5" s="11"/>
      <c r="P5" s="11"/>
      <c r="Q5" s="10"/>
      <c r="R5" s="3"/>
      <c r="S5" s="3"/>
      <c r="T5" s="3"/>
    </row>
    <row r="6" spans="1:20" ht="21.75" customHeight="1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0"/>
      <c r="R6" s="3"/>
      <c r="S6" s="3"/>
      <c r="T6" s="3"/>
    </row>
    <row r="7" spans="1:17" s="17" customFormat="1" ht="24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22" customFormat="1" ht="15" customHeight="1">
      <c r="A8" s="18"/>
      <c r="B8" s="18"/>
      <c r="C8" s="18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 t="s">
        <v>4</v>
      </c>
      <c r="Q8" s="21"/>
    </row>
    <row r="9" spans="1:20" ht="36" customHeight="1">
      <c r="A9" s="23" t="s">
        <v>5</v>
      </c>
      <c r="B9" s="23" t="s">
        <v>6</v>
      </c>
      <c r="C9" s="23" t="s">
        <v>7</v>
      </c>
      <c r="D9" s="24" t="s">
        <v>8</v>
      </c>
      <c r="E9" s="24" t="s">
        <v>9</v>
      </c>
      <c r="F9" s="24"/>
      <c r="G9" s="24"/>
      <c r="H9" s="24"/>
      <c r="I9" s="24"/>
      <c r="J9" s="24" t="s">
        <v>10</v>
      </c>
      <c r="K9" s="24"/>
      <c r="L9" s="24"/>
      <c r="M9" s="24"/>
      <c r="N9" s="24"/>
      <c r="O9" s="24"/>
      <c r="P9" s="24" t="s">
        <v>11</v>
      </c>
      <c r="Q9" s="10"/>
      <c r="R9" s="3"/>
      <c r="S9" s="3"/>
      <c r="T9" s="3"/>
    </row>
    <row r="10" spans="1:20" s="19" customFormat="1" ht="29.25" customHeight="1">
      <c r="A10" s="23"/>
      <c r="B10" s="23"/>
      <c r="C10" s="23"/>
      <c r="D10" s="24"/>
      <c r="E10" s="24" t="s">
        <v>12</v>
      </c>
      <c r="F10" s="24" t="s">
        <v>13</v>
      </c>
      <c r="G10" s="24" t="s">
        <v>14</v>
      </c>
      <c r="H10" s="24"/>
      <c r="I10" s="24" t="s">
        <v>15</v>
      </c>
      <c r="J10" s="24" t="s">
        <v>12</v>
      </c>
      <c r="K10" s="24" t="s">
        <v>16</v>
      </c>
      <c r="L10" s="24" t="s">
        <v>17</v>
      </c>
      <c r="M10" s="24" t="s">
        <v>14</v>
      </c>
      <c r="N10" s="24"/>
      <c r="O10" s="24" t="s">
        <v>15</v>
      </c>
      <c r="P10" s="24"/>
      <c r="Q10" s="25"/>
      <c r="R10" s="26"/>
      <c r="S10" s="26"/>
      <c r="T10" s="26"/>
    </row>
    <row r="11" spans="1:17" s="19" customFormat="1" ht="57" customHeight="1">
      <c r="A11" s="23"/>
      <c r="B11" s="23"/>
      <c r="C11" s="23"/>
      <c r="D11" s="24"/>
      <c r="E11" s="24"/>
      <c r="F11" s="24"/>
      <c r="G11" s="24" t="s">
        <v>18</v>
      </c>
      <c r="H11" s="24" t="s">
        <v>19</v>
      </c>
      <c r="I11" s="24"/>
      <c r="J11" s="24"/>
      <c r="K11" s="24"/>
      <c r="L11" s="24"/>
      <c r="M11" s="24" t="s">
        <v>18</v>
      </c>
      <c r="N11" s="24" t="s">
        <v>20</v>
      </c>
      <c r="O11" s="24"/>
      <c r="P11" s="24"/>
      <c r="Q11" s="27"/>
    </row>
    <row r="12" spans="1:17" s="29" customFormat="1" ht="11.2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24">
        <v>16</v>
      </c>
      <c r="Q12" s="28"/>
    </row>
    <row r="13" spans="1:17" s="29" customFormat="1" ht="12.75" customHeight="1" hidden="1">
      <c r="A13" s="30" t="s">
        <v>21</v>
      </c>
      <c r="B13" s="31"/>
      <c r="C13" s="31"/>
      <c r="D13" s="32" t="s">
        <v>22</v>
      </c>
      <c r="E13" s="33">
        <f>E14</f>
        <v>2295377</v>
      </c>
      <c r="F13" s="33">
        <f>F14</f>
        <v>2295377</v>
      </c>
      <c r="G13" s="33">
        <f aca="true" t="shared" si="0" ref="G13:P13">G14</f>
        <v>1145113</v>
      </c>
      <c r="H13" s="33">
        <f t="shared" si="0"/>
        <v>369950</v>
      </c>
      <c r="I13" s="33">
        <f t="shared" si="0"/>
        <v>0</v>
      </c>
      <c r="J13" s="33">
        <f t="shared" si="0"/>
        <v>6000</v>
      </c>
      <c r="K13" s="33"/>
      <c r="L13" s="33">
        <f t="shared" si="0"/>
        <v>0</v>
      </c>
      <c r="M13" s="33">
        <f t="shared" si="0"/>
        <v>0</v>
      </c>
      <c r="N13" s="33">
        <f t="shared" si="0"/>
        <v>0</v>
      </c>
      <c r="O13" s="33">
        <f t="shared" si="0"/>
        <v>0</v>
      </c>
      <c r="P13" s="33">
        <f t="shared" si="0"/>
        <v>2301377</v>
      </c>
      <c r="Q13" s="28"/>
    </row>
    <row r="14" spans="1:17" s="36" customFormat="1" ht="12.75" customHeight="1" hidden="1">
      <c r="A14" s="30" t="s">
        <v>23</v>
      </c>
      <c r="B14" s="31"/>
      <c r="C14" s="31"/>
      <c r="D14" s="32" t="s">
        <v>22</v>
      </c>
      <c r="E14" s="34">
        <f>F14+I14</f>
        <v>2295377</v>
      </c>
      <c r="F14" s="34">
        <f>F15</f>
        <v>2295377</v>
      </c>
      <c r="G14" s="34">
        <f aca="true" t="shared" si="1" ref="G14:O14">G15</f>
        <v>1145113</v>
      </c>
      <c r="H14" s="34">
        <f t="shared" si="1"/>
        <v>369950</v>
      </c>
      <c r="I14" s="34">
        <f t="shared" si="1"/>
        <v>0</v>
      </c>
      <c r="J14" s="34">
        <f t="shared" si="1"/>
        <v>6000</v>
      </c>
      <c r="K14" s="34"/>
      <c r="L14" s="34"/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>E14+J14</f>
        <v>2301377</v>
      </c>
      <c r="Q14" s="35"/>
    </row>
    <row r="15" spans="1:17" s="22" customFormat="1" ht="12.75" customHeight="1" hidden="1">
      <c r="A15" s="37" t="s">
        <v>24</v>
      </c>
      <c r="B15" s="37" t="s">
        <v>25</v>
      </c>
      <c r="C15" s="37" t="s">
        <v>26</v>
      </c>
      <c r="D15" s="38" t="s">
        <v>27</v>
      </c>
      <c r="E15" s="39">
        <f>F15+I15</f>
        <v>2295377</v>
      </c>
      <c r="F15" s="39">
        <f>2103781+98818+92778</f>
        <v>2295377</v>
      </c>
      <c r="G15" s="39">
        <f>986829+82236+76048</f>
        <v>1145113</v>
      </c>
      <c r="H15" s="39">
        <v>369950</v>
      </c>
      <c r="I15" s="39"/>
      <c r="J15" s="39">
        <f>L15+O15</f>
        <v>6000</v>
      </c>
      <c r="K15" s="39"/>
      <c r="L15" s="39">
        <v>6000</v>
      </c>
      <c r="M15" s="39"/>
      <c r="N15" s="39"/>
      <c r="O15" s="39">
        <v>0</v>
      </c>
      <c r="P15" s="34">
        <f>J15+E15</f>
        <v>2301377</v>
      </c>
      <c r="Q15" s="21"/>
    </row>
    <row r="16" spans="1:18" s="44" customFormat="1" ht="12.75" customHeight="1" hidden="1">
      <c r="A16" s="30" t="s">
        <v>28</v>
      </c>
      <c r="B16" s="31"/>
      <c r="C16" s="31"/>
      <c r="D16" s="40" t="s">
        <v>29</v>
      </c>
      <c r="E16" s="41">
        <f>E17</f>
        <v>42829540.66</v>
      </c>
      <c r="F16" s="41">
        <f aca="true" t="shared" si="2" ref="F16:P16">F17</f>
        <v>42829540.66</v>
      </c>
      <c r="G16" s="41">
        <f t="shared" si="2"/>
        <v>372695</v>
      </c>
      <c r="H16" s="41">
        <f t="shared" si="2"/>
        <v>17803</v>
      </c>
      <c r="I16" s="41">
        <f t="shared" si="2"/>
        <v>0</v>
      </c>
      <c r="J16" s="41">
        <f t="shared" si="2"/>
        <v>12234111</v>
      </c>
      <c r="K16" s="41">
        <f t="shared" si="2"/>
        <v>6427012</v>
      </c>
      <c r="L16" s="41">
        <f t="shared" si="2"/>
        <v>926406</v>
      </c>
      <c r="M16" s="41">
        <f t="shared" si="2"/>
        <v>0</v>
      </c>
      <c r="N16" s="41">
        <f t="shared" si="2"/>
        <v>0</v>
      </c>
      <c r="O16" s="41">
        <f>O17</f>
        <v>11307705</v>
      </c>
      <c r="P16" s="41">
        <f t="shared" si="2"/>
        <v>55063651.66</v>
      </c>
      <c r="Q16" s="42"/>
      <c r="R16" s="43"/>
    </row>
    <row r="17" spans="1:18" s="47" customFormat="1" ht="12.75" customHeight="1" hidden="1">
      <c r="A17" s="30" t="s">
        <v>30</v>
      </c>
      <c r="B17" s="31"/>
      <c r="C17" s="31"/>
      <c r="D17" s="40" t="s">
        <v>29</v>
      </c>
      <c r="E17" s="41">
        <f>E18+E30+E32+E22+E24+E27+E33+E55+E37+E41+E31+E23+E35</f>
        <v>42829540.66</v>
      </c>
      <c r="F17" s="41">
        <f>F18+F30+F32+F22+F24+F27+F33+F55+F37+F41+F31+F23+F35</f>
        <v>42829540.66</v>
      </c>
      <c r="G17" s="41">
        <f>G18+G30+G32+G22+G24+G27+G33+G55+G37+G41+G31+G23+G35</f>
        <v>372695</v>
      </c>
      <c r="H17" s="41">
        <f>H18+H30+H32+H22+H24+H27+H33+H55+H37+H41+H31+H23+H35</f>
        <v>17803</v>
      </c>
      <c r="I17" s="41">
        <f>I18+I30+I32+I22+I24+I27+I33+I55+I37+I41+I31+I23+I35</f>
        <v>0</v>
      </c>
      <c r="J17" s="41">
        <f aca="true" t="shared" si="3" ref="J17:O17">J18+J30+J32+J22+J24+J27+J33+J55+J37+J41+J31+J34+J21+J36</f>
        <v>12234111</v>
      </c>
      <c r="K17" s="41">
        <f t="shared" si="3"/>
        <v>6427012</v>
      </c>
      <c r="L17" s="41">
        <f t="shared" si="3"/>
        <v>926406</v>
      </c>
      <c r="M17" s="41">
        <f t="shared" si="3"/>
        <v>0</v>
      </c>
      <c r="N17" s="41">
        <f t="shared" si="3"/>
        <v>0</v>
      </c>
      <c r="O17" s="41">
        <f t="shared" si="3"/>
        <v>11307705</v>
      </c>
      <c r="P17" s="41">
        <f>P18+P30+P32+P22+P24+P27+P33+P55+P37+P41+P31+P34+P21+P36+P23+P35</f>
        <v>55063651.66</v>
      </c>
      <c r="Q17" s="45"/>
      <c r="R17" s="46"/>
    </row>
    <row r="18" spans="1:17" s="52" customFormat="1" ht="12.75" customHeight="1" hidden="1">
      <c r="A18" s="37" t="s">
        <v>31</v>
      </c>
      <c r="B18" s="48" t="s">
        <v>32</v>
      </c>
      <c r="C18" s="48" t="s">
        <v>33</v>
      </c>
      <c r="D18" s="49" t="s">
        <v>34</v>
      </c>
      <c r="E18" s="50">
        <f>F18+I18</f>
        <v>37766915.58</v>
      </c>
      <c r="F18" s="50">
        <f>28756626+194551+1149330+64927+20000+15071+150000+190146+59750+1983911.51+63680.23+51660+43415+19319-2219100+1212301+814961+13000+150000+95537.84+179000+100000+1600+11900+55700+119450+254922+303000+5896+7824+500000+6800+372+245000+400700-130450+30415+101000+40000+7000+337900+2256300+103500</f>
        <v>37766915.58</v>
      </c>
      <c r="G18" s="50"/>
      <c r="H18" s="50"/>
      <c r="I18" s="50"/>
      <c r="J18" s="50">
        <f>L18+O18</f>
        <v>1876179</v>
      </c>
      <c r="K18" s="50">
        <f>40000+90250+774840+23246-774840-23246+40000+80550+55000+130450+98000</f>
        <v>534250</v>
      </c>
      <c r="L18" s="50">
        <v>926406</v>
      </c>
      <c r="M18" s="50"/>
      <c r="N18" s="50"/>
      <c r="O18" s="50">
        <f>415523+K18</f>
        <v>949773</v>
      </c>
      <c r="P18" s="41">
        <f>J18+E18</f>
        <v>39643094.58</v>
      </c>
      <c r="Q18" s="51"/>
    </row>
    <row r="19" spans="1:17" s="54" customFormat="1" ht="12.75" customHeight="1" hidden="1">
      <c r="A19" s="37"/>
      <c r="B19" s="48"/>
      <c r="C19" s="48"/>
      <c r="D19" s="49" t="s">
        <v>35</v>
      </c>
      <c r="E19" s="50"/>
      <c r="F19" s="50"/>
      <c r="G19" s="50"/>
      <c r="H19" s="50"/>
      <c r="I19" s="50"/>
      <c r="J19" s="50">
        <f aca="true" t="shared" si="4" ref="J19:J100">L19+O19</f>
        <v>0</v>
      </c>
      <c r="K19" s="50"/>
      <c r="L19" s="50"/>
      <c r="M19" s="50"/>
      <c r="N19" s="50"/>
      <c r="O19" s="50"/>
      <c r="P19" s="41"/>
      <c r="Q19" s="53"/>
    </row>
    <row r="20" spans="1:17" s="54" customFormat="1" ht="12.75" customHeight="1" hidden="1">
      <c r="A20" s="37"/>
      <c r="B20" s="48"/>
      <c r="C20" s="48"/>
      <c r="D20" s="49" t="s">
        <v>36</v>
      </c>
      <c r="E20" s="50">
        <f>F20+I20</f>
        <v>24914800</v>
      </c>
      <c r="F20" s="50">
        <f>27133900-2219100</f>
        <v>24914800</v>
      </c>
      <c r="G20" s="50"/>
      <c r="H20" s="50"/>
      <c r="I20" s="50"/>
      <c r="J20" s="50">
        <f>L20+O20</f>
        <v>0</v>
      </c>
      <c r="K20" s="50"/>
      <c r="L20" s="50"/>
      <c r="M20" s="50"/>
      <c r="N20" s="50"/>
      <c r="O20" s="50"/>
      <c r="P20" s="41">
        <f>J20+E20</f>
        <v>24914800</v>
      </c>
      <c r="Q20" s="53"/>
    </row>
    <row r="21" spans="1:17" s="54" customFormat="1" ht="12.75" customHeight="1" hidden="1">
      <c r="A21" s="55" t="s">
        <v>37</v>
      </c>
      <c r="B21" s="56" t="s">
        <v>38</v>
      </c>
      <c r="C21" s="56" t="s">
        <v>39</v>
      </c>
      <c r="D21" s="57" t="s">
        <v>40</v>
      </c>
      <c r="E21" s="50">
        <f>F21+I21</f>
        <v>0</v>
      </c>
      <c r="F21" s="50"/>
      <c r="G21" s="50"/>
      <c r="H21" s="50"/>
      <c r="I21" s="50"/>
      <c r="J21" s="50">
        <f>L21+O21</f>
        <v>2218086</v>
      </c>
      <c r="K21" s="50">
        <f>774840+23246+1420000</f>
        <v>2218086</v>
      </c>
      <c r="L21" s="50"/>
      <c r="M21" s="50"/>
      <c r="N21" s="50"/>
      <c r="O21" s="50">
        <f>K21</f>
        <v>2218086</v>
      </c>
      <c r="P21" s="41">
        <f>J21+E21</f>
        <v>2218086</v>
      </c>
      <c r="Q21" s="53"/>
    </row>
    <row r="22" spans="1:17" s="54" customFormat="1" ht="12.75" customHeight="1" hidden="1">
      <c r="A22" s="55" t="s">
        <v>41</v>
      </c>
      <c r="B22" s="56" t="s">
        <v>42</v>
      </c>
      <c r="C22" s="56" t="s">
        <v>43</v>
      </c>
      <c r="D22" s="58" t="s">
        <v>44</v>
      </c>
      <c r="E22" s="50">
        <f>F22</f>
        <v>3428410</v>
      </c>
      <c r="F22" s="50">
        <f>394000+1084350+75000+173050+65000+233380+347000+70000+22000+13000+30000+40000+99200+179620+341160+16800+61000+14000+15000+100000+26850+28000</f>
        <v>3428410</v>
      </c>
      <c r="G22" s="50"/>
      <c r="H22" s="50"/>
      <c r="I22" s="50"/>
      <c r="J22" s="50">
        <f>L22+O22</f>
        <v>3607800</v>
      </c>
      <c r="K22" s="50">
        <f>2000000+318800+7000+1089000+121000+72000</f>
        <v>3607800</v>
      </c>
      <c r="L22" s="50"/>
      <c r="M22" s="50"/>
      <c r="N22" s="50"/>
      <c r="O22" s="50">
        <f>K22</f>
        <v>3607800</v>
      </c>
      <c r="P22" s="41">
        <f aca="true" t="shared" si="5" ref="P22:P36">J22+E22</f>
        <v>7036210</v>
      </c>
      <c r="Q22" s="53"/>
    </row>
    <row r="23" spans="1:17" s="54" customFormat="1" ht="12.75" customHeight="1" hidden="1">
      <c r="A23" s="56" t="s">
        <v>41</v>
      </c>
      <c r="B23" s="56" t="s">
        <v>42</v>
      </c>
      <c r="C23" s="56" t="s">
        <v>43</v>
      </c>
      <c r="D23" s="58" t="s">
        <v>44</v>
      </c>
      <c r="E23" s="50">
        <f>F23</f>
        <v>94000</v>
      </c>
      <c r="F23" s="50">
        <f>10000+3000+23500+34000+23500</f>
        <v>94000</v>
      </c>
      <c r="G23" s="50"/>
      <c r="H23" s="50"/>
      <c r="I23" s="50"/>
      <c r="J23" s="50">
        <f>L23+O23</f>
        <v>0</v>
      </c>
      <c r="K23" s="50"/>
      <c r="L23" s="50"/>
      <c r="M23" s="50"/>
      <c r="N23" s="50"/>
      <c r="O23" s="50"/>
      <c r="P23" s="41">
        <f t="shared" si="5"/>
        <v>94000</v>
      </c>
      <c r="Q23" s="53"/>
    </row>
    <row r="24" spans="1:17" s="54" customFormat="1" ht="12.75" customHeight="1" hidden="1">
      <c r="A24" s="56" t="s">
        <v>45</v>
      </c>
      <c r="B24" s="56" t="s">
        <v>46</v>
      </c>
      <c r="C24" s="56" t="s">
        <v>47</v>
      </c>
      <c r="D24" s="49" t="s">
        <v>48</v>
      </c>
      <c r="E24" s="50">
        <f aca="true" t="shared" si="6" ref="E24:E36">F24</f>
        <v>659448.08</v>
      </c>
      <c r="F24" s="50">
        <f>693938-15071+161.08-19580</f>
        <v>659448.08</v>
      </c>
      <c r="G24" s="50"/>
      <c r="H24" s="50"/>
      <c r="I24" s="50"/>
      <c r="J24" s="50">
        <f aca="true" t="shared" si="7" ref="J24:J41">L24+O24</f>
        <v>0</v>
      </c>
      <c r="K24" s="50"/>
      <c r="L24" s="50"/>
      <c r="M24" s="50"/>
      <c r="N24" s="50"/>
      <c r="O24" s="50"/>
      <c r="P24" s="41">
        <f t="shared" si="5"/>
        <v>659448.08</v>
      </c>
      <c r="Q24" s="53"/>
    </row>
    <row r="25" spans="1:17" s="54" customFormat="1" ht="12.75" hidden="1">
      <c r="A25" s="56"/>
      <c r="B25" s="56"/>
      <c r="C25" s="56"/>
      <c r="D25" s="49" t="s">
        <v>35</v>
      </c>
      <c r="E25" s="50">
        <f t="shared" si="6"/>
        <v>0</v>
      </c>
      <c r="F25" s="50"/>
      <c r="G25" s="50"/>
      <c r="H25" s="50"/>
      <c r="I25" s="50"/>
      <c r="J25" s="50">
        <f t="shared" si="7"/>
        <v>0</v>
      </c>
      <c r="K25" s="50"/>
      <c r="L25" s="50"/>
      <c r="M25" s="50"/>
      <c r="N25" s="50"/>
      <c r="O25" s="50"/>
      <c r="P25" s="41">
        <f t="shared" si="5"/>
        <v>0</v>
      </c>
      <c r="Q25" s="53"/>
    </row>
    <row r="26" spans="1:17" s="54" customFormat="1" ht="12.75" hidden="1">
      <c r="A26" s="56"/>
      <c r="B26" s="56"/>
      <c r="C26" s="56"/>
      <c r="D26" s="49" t="s">
        <v>36</v>
      </c>
      <c r="E26" s="50">
        <f t="shared" si="6"/>
        <v>659448.08</v>
      </c>
      <c r="F26" s="50">
        <f>F24</f>
        <v>659448.08</v>
      </c>
      <c r="G26" s="50"/>
      <c r="H26" s="50"/>
      <c r="I26" s="50"/>
      <c r="J26" s="50">
        <f t="shared" si="7"/>
        <v>0</v>
      </c>
      <c r="K26" s="50"/>
      <c r="L26" s="50"/>
      <c r="M26" s="50"/>
      <c r="N26" s="50"/>
      <c r="O26" s="50"/>
      <c r="P26" s="41">
        <f t="shared" si="5"/>
        <v>659448.08</v>
      </c>
      <c r="Q26" s="53"/>
    </row>
    <row r="27" spans="1:17" s="54" customFormat="1" ht="12.75" customHeight="1" hidden="1">
      <c r="A27" s="56" t="s">
        <v>49</v>
      </c>
      <c r="B27" s="56" t="s">
        <v>50</v>
      </c>
      <c r="C27" s="56" t="s">
        <v>47</v>
      </c>
      <c r="D27" s="58" t="s">
        <v>51</v>
      </c>
      <c r="E27" s="50">
        <f t="shared" si="6"/>
        <v>217073</v>
      </c>
      <c r="F27" s="50">
        <v>217073</v>
      </c>
      <c r="G27" s="50"/>
      <c r="H27" s="50"/>
      <c r="I27" s="50"/>
      <c r="J27" s="50">
        <f t="shared" si="7"/>
        <v>0</v>
      </c>
      <c r="K27" s="50"/>
      <c r="L27" s="50"/>
      <c r="M27" s="50"/>
      <c r="N27" s="50"/>
      <c r="O27" s="50"/>
      <c r="P27" s="41">
        <f t="shared" si="5"/>
        <v>217073</v>
      </c>
      <c r="Q27" s="53"/>
    </row>
    <row r="28" spans="1:17" s="54" customFormat="1" ht="12.75" hidden="1">
      <c r="A28" s="56"/>
      <c r="B28" s="56"/>
      <c r="C28" s="56"/>
      <c r="D28" s="49" t="s">
        <v>35</v>
      </c>
      <c r="E28" s="50">
        <f t="shared" si="6"/>
        <v>0</v>
      </c>
      <c r="F28" s="50"/>
      <c r="G28" s="50"/>
      <c r="H28" s="50"/>
      <c r="I28" s="50"/>
      <c r="J28" s="50">
        <f t="shared" si="7"/>
        <v>0</v>
      </c>
      <c r="K28" s="50"/>
      <c r="L28" s="50"/>
      <c r="M28" s="50"/>
      <c r="N28" s="50"/>
      <c r="O28" s="50"/>
      <c r="P28" s="41">
        <f t="shared" si="5"/>
        <v>0</v>
      </c>
      <c r="Q28" s="53"/>
    </row>
    <row r="29" spans="1:17" s="54" customFormat="1" ht="12.75" customHeight="1" hidden="1">
      <c r="A29" s="56"/>
      <c r="B29" s="56"/>
      <c r="C29" s="56"/>
      <c r="D29" s="49" t="s">
        <v>36</v>
      </c>
      <c r="E29" s="50">
        <f t="shared" si="6"/>
        <v>217073</v>
      </c>
      <c r="F29" s="50">
        <f>F27</f>
        <v>217073</v>
      </c>
      <c r="G29" s="50"/>
      <c r="H29" s="50"/>
      <c r="I29" s="50"/>
      <c r="J29" s="50">
        <f t="shared" si="7"/>
        <v>0</v>
      </c>
      <c r="K29" s="50"/>
      <c r="L29" s="50"/>
      <c r="M29" s="50"/>
      <c r="N29" s="50"/>
      <c r="O29" s="50"/>
      <c r="P29" s="41">
        <f t="shared" si="5"/>
        <v>217073</v>
      </c>
      <c r="Q29" s="53"/>
    </row>
    <row r="30" spans="1:17" s="54" customFormat="1" ht="12.75" customHeight="1" hidden="1">
      <c r="A30" s="48" t="s">
        <v>52</v>
      </c>
      <c r="B30" s="48" t="s">
        <v>53</v>
      </c>
      <c r="C30" s="48" t="s">
        <v>54</v>
      </c>
      <c r="D30" s="49" t="s">
        <v>55</v>
      </c>
      <c r="E30" s="50">
        <f t="shared" si="6"/>
        <v>538250</v>
      </c>
      <c r="F30" s="50">
        <f>187677+350573</f>
        <v>538250</v>
      </c>
      <c r="G30" s="50">
        <f>138132+234563</f>
        <v>372695</v>
      </c>
      <c r="H30" s="50">
        <f>8309+9494</f>
        <v>17803</v>
      </c>
      <c r="I30" s="50"/>
      <c r="J30" s="50">
        <f t="shared" si="7"/>
        <v>0</v>
      </c>
      <c r="K30" s="50"/>
      <c r="L30" s="59"/>
      <c r="M30" s="59"/>
      <c r="N30" s="59"/>
      <c r="O30" s="50"/>
      <c r="P30" s="41">
        <f t="shared" si="5"/>
        <v>538250</v>
      </c>
      <c r="Q30" s="53"/>
    </row>
    <row r="31" spans="1:17" s="54" customFormat="1" ht="12.75" customHeight="1" hidden="1">
      <c r="A31" s="48" t="s">
        <v>56</v>
      </c>
      <c r="B31" s="48" t="s">
        <v>57</v>
      </c>
      <c r="C31" s="48" t="s">
        <v>54</v>
      </c>
      <c r="D31" s="49" t="s">
        <v>58</v>
      </c>
      <c r="E31" s="50">
        <f t="shared" si="6"/>
        <v>23000</v>
      </c>
      <c r="F31" s="50">
        <f>3000+5000+15000</f>
        <v>23000</v>
      </c>
      <c r="G31" s="50"/>
      <c r="H31" s="50"/>
      <c r="I31" s="50"/>
      <c r="J31" s="50">
        <f t="shared" si="7"/>
        <v>0</v>
      </c>
      <c r="K31" s="50"/>
      <c r="L31" s="59"/>
      <c r="M31" s="59"/>
      <c r="N31" s="59"/>
      <c r="O31" s="50"/>
      <c r="P31" s="41">
        <f t="shared" si="5"/>
        <v>23000</v>
      </c>
      <c r="Q31" s="53"/>
    </row>
    <row r="32" spans="1:17" s="61" customFormat="1" ht="12.75" customHeight="1" hidden="1">
      <c r="A32" s="48" t="s">
        <v>59</v>
      </c>
      <c r="B32" s="48" t="s">
        <v>60</v>
      </c>
      <c r="C32" s="48" t="s">
        <v>61</v>
      </c>
      <c r="D32" s="49" t="s">
        <v>62</v>
      </c>
      <c r="E32" s="50">
        <f t="shared" si="6"/>
        <v>20000</v>
      </c>
      <c r="F32" s="50">
        <v>20000</v>
      </c>
      <c r="G32" s="50"/>
      <c r="H32" s="50"/>
      <c r="I32" s="50"/>
      <c r="J32" s="50">
        <f t="shared" si="7"/>
        <v>0</v>
      </c>
      <c r="K32" s="50"/>
      <c r="L32" s="50"/>
      <c r="M32" s="50"/>
      <c r="N32" s="50"/>
      <c r="O32" s="50"/>
      <c r="P32" s="41">
        <f t="shared" si="5"/>
        <v>20000</v>
      </c>
      <c r="Q32" s="60"/>
    </row>
    <row r="33" spans="1:17" s="61" customFormat="1" ht="12.75" customHeight="1" hidden="1">
      <c r="A33" s="48" t="s">
        <v>63</v>
      </c>
      <c r="B33" s="48" t="s">
        <v>64</v>
      </c>
      <c r="C33" s="48" t="s">
        <v>65</v>
      </c>
      <c r="D33" s="49" t="s">
        <v>66</v>
      </c>
      <c r="E33" s="50">
        <f t="shared" si="6"/>
        <v>0</v>
      </c>
      <c r="F33" s="50">
        <f>10330+5840+4130-20300</f>
        <v>0</v>
      </c>
      <c r="G33" s="50"/>
      <c r="H33" s="50"/>
      <c r="I33" s="50"/>
      <c r="J33" s="50">
        <f>L33+O33</f>
        <v>27420</v>
      </c>
      <c r="K33" s="50">
        <f>20300+7120</f>
        <v>27420</v>
      </c>
      <c r="L33" s="50"/>
      <c r="M33" s="50"/>
      <c r="N33" s="50"/>
      <c r="O33" s="50">
        <f>K33</f>
        <v>27420</v>
      </c>
      <c r="P33" s="41">
        <f t="shared" si="5"/>
        <v>27420</v>
      </c>
      <c r="Q33" s="60"/>
    </row>
    <row r="34" spans="1:17" s="61" customFormat="1" ht="12.75" customHeight="1" hidden="1">
      <c r="A34" s="48" t="s">
        <v>67</v>
      </c>
      <c r="B34" s="48" t="s">
        <v>68</v>
      </c>
      <c r="C34" s="48" t="s">
        <v>69</v>
      </c>
      <c r="D34" s="49" t="s">
        <v>70</v>
      </c>
      <c r="E34" s="50">
        <f t="shared" si="6"/>
        <v>0</v>
      </c>
      <c r="F34" s="50"/>
      <c r="G34" s="50"/>
      <c r="H34" s="50"/>
      <c r="I34" s="50"/>
      <c r="J34" s="50">
        <f t="shared" si="7"/>
        <v>4305170</v>
      </c>
      <c r="K34" s="50"/>
      <c r="L34" s="50"/>
      <c r="M34" s="50"/>
      <c r="N34" s="50"/>
      <c r="O34" s="50">
        <v>4305170</v>
      </c>
      <c r="P34" s="41">
        <f t="shared" si="5"/>
        <v>4305170</v>
      </c>
      <c r="Q34" s="60"/>
    </row>
    <row r="35" spans="1:17" s="61" customFormat="1" ht="12.75" customHeight="1" hidden="1">
      <c r="A35" s="48" t="s">
        <v>71</v>
      </c>
      <c r="B35" s="48" t="s">
        <v>72</v>
      </c>
      <c r="C35" s="48" t="s">
        <v>39</v>
      </c>
      <c r="D35" s="49" t="s">
        <v>73</v>
      </c>
      <c r="E35" s="50">
        <f t="shared" si="6"/>
        <v>40100</v>
      </c>
      <c r="F35" s="50">
        <v>40100</v>
      </c>
      <c r="G35" s="50"/>
      <c r="H35" s="50"/>
      <c r="I35" s="50"/>
      <c r="J35" s="50">
        <f t="shared" si="7"/>
        <v>0</v>
      </c>
      <c r="K35" s="50"/>
      <c r="L35" s="50"/>
      <c r="M35" s="50"/>
      <c r="N35" s="50"/>
      <c r="O35" s="50"/>
      <c r="P35" s="41">
        <f t="shared" si="5"/>
        <v>40100</v>
      </c>
      <c r="Q35" s="60"/>
    </row>
    <row r="36" spans="1:17" s="61" customFormat="1" ht="12.75" customHeight="1" hidden="1">
      <c r="A36" s="48" t="s">
        <v>74</v>
      </c>
      <c r="B36" s="48" t="s">
        <v>75</v>
      </c>
      <c r="C36" s="48" t="s">
        <v>76</v>
      </c>
      <c r="D36" s="49" t="s">
        <v>77</v>
      </c>
      <c r="E36" s="50">
        <f t="shared" si="6"/>
        <v>0</v>
      </c>
      <c r="F36" s="50"/>
      <c r="G36" s="50"/>
      <c r="H36" s="50"/>
      <c r="I36" s="50"/>
      <c r="J36" s="50">
        <f t="shared" si="7"/>
        <v>20000</v>
      </c>
      <c r="K36" s="50">
        <f>10000+10000</f>
        <v>20000</v>
      </c>
      <c r="L36" s="50"/>
      <c r="M36" s="50"/>
      <c r="N36" s="50"/>
      <c r="O36" s="50">
        <f>K36</f>
        <v>20000</v>
      </c>
      <c r="P36" s="41">
        <f t="shared" si="5"/>
        <v>20000</v>
      </c>
      <c r="Q36" s="60"/>
    </row>
    <row r="37" spans="1:17" s="61" customFormat="1" ht="12.75" customHeight="1" hidden="1">
      <c r="A37" s="48" t="s">
        <v>78</v>
      </c>
      <c r="B37" s="62">
        <v>9770</v>
      </c>
      <c r="C37" s="48" t="s">
        <v>79</v>
      </c>
      <c r="D37" s="63" t="s">
        <v>80</v>
      </c>
      <c r="E37" s="50">
        <f>E38+E39+E40</f>
        <v>42344</v>
      </c>
      <c r="F37" s="50">
        <f>F38+F39+F40</f>
        <v>42344</v>
      </c>
      <c r="G37" s="50">
        <f aca="true" t="shared" si="8" ref="G37:P37">G38+G39+G40</f>
        <v>0</v>
      </c>
      <c r="H37" s="50">
        <f t="shared" si="8"/>
        <v>0</v>
      </c>
      <c r="I37" s="50">
        <f t="shared" si="8"/>
        <v>0</v>
      </c>
      <c r="J37" s="50">
        <f t="shared" si="8"/>
        <v>19456</v>
      </c>
      <c r="K37" s="50">
        <f t="shared" si="8"/>
        <v>19456</v>
      </c>
      <c r="L37" s="50">
        <f t="shared" si="8"/>
        <v>0</v>
      </c>
      <c r="M37" s="50">
        <f t="shared" si="8"/>
        <v>0</v>
      </c>
      <c r="N37" s="50">
        <f t="shared" si="8"/>
        <v>0</v>
      </c>
      <c r="O37" s="50">
        <f t="shared" si="8"/>
        <v>19456</v>
      </c>
      <c r="P37" s="50">
        <f t="shared" si="8"/>
        <v>61800</v>
      </c>
      <c r="Q37" s="60"/>
    </row>
    <row r="38" spans="1:17" s="61" customFormat="1" ht="12.75" customHeight="1" hidden="1">
      <c r="A38" s="48"/>
      <c r="B38" s="62"/>
      <c r="C38" s="48"/>
      <c r="D38" s="63" t="s">
        <v>81</v>
      </c>
      <c r="E38" s="50">
        <f>F38+I38</f>
        <v>15000</v>
      </c>
      <c r="F38" s="50">
        <f>30000-20000+3000+2000</f>
        <v>15000</v>
      </c>
      <c r="G38" s="50"/>
      <c r="H38" s="50"/>
      <c r="I38" s="50"/>
      <c r="J38" s="50">
        <f t="shared" si="7"/>
        <v>0</v>
      </c>
      <c r="K38" s="50"/>
      <c r="L38" s="50"/>
      <c r="M38" s="50"/>
      <c r="N38" s="50"/>
      <c r="O38" s="50"/>
      <c r="P38" s="41">
        <f>J38+E38</f>
        <v>15000</v>
      </c>
      <c r="Q38" s="60"/>
    </row>
    <row r="39" spans="1:17" s="61" customFormat="1" ht="12.75" customHeight="1" hidden="1">
      <c r="A39" s="48"/>
      <c r="B39" s="62"/>
      <c r="C39" s="48"/>
      <c r="D39" s="63" t="s">
        <v>82</v>
      </c>
      <c r="E39" s="50">
        <f>F39+I39</f>
        <v>16400</v>
      </c>
      <c r="F39" s="50">
        <v>16400</v>
      </c>
      <c r="G39" s="50"/>
      <c r="H39" s="50"/>
      <c r="I39" s="50"/>
      <c r="J39" s="50">
        <f t="shared" si="7"/>
        <v>0</v>
      </c>
      <c r="K39" s="50"/>
      <c r="L39" s="50"/>
      <c r="M39" s="50"/>
      <c r="N39" s="50"/>
      <c r="O39" s="50"/>
      <c r="P39" s="41">
        <f>J39+E39</f>
        <v>16400</v>
      </c>
      <c r="Q39" s="60"/>
    </row>
    <row r="40" spans="1:17" s="61" customFormat="1" ht="12.75" customHeight="1" hidden="1">
      <c r="A40" s="48"/>
      <c r="B40" s="62"/>
      <c r="C40" s="48"/>
      <c r="D40" s="63" t="s">
        <v>83</v>
      </c>
      <c r="E40" s="50">
        <f>F40+I40</f>
        <v>10944</v>
      </c>
      <c r="F40" s="50">
        <f>30400-19456</f>
        <v>10944</v>
      </c>
      <c r="G40" s="50"/>
      <c r="H40" s="50"/>
      <c r="I40" s="50"/>
      <c r="J40" s="50">
        <f t="shared" si="7"/>
        <v>19456</v>
      </c>
      <c r="K40" s="50">
        <f>O40</f>
        <v>19456</v>
      </c>
      <c r="L40" s="50"/>
      <c r="M40" s="50"/>
      <c r="N40" s="50"/>
      <c r="O40" s="50">
        <v>19456</v>
      </c>
      <c r="P40" s="41">
        <f>J40+E40</f>
        <v>30400</v>
      </c>
      <c r="Q40" s="60"/>
    </row>
    <row r="41" spans="1:17" s="61" customFormat="1" ht="12.75" customHeight="1" hidden="1">
      <c r="A41" s="48" t="s">
        <v>84</v>
      </c>
      <c r="B41" s="48" t="s">
        <v>85</v>
      </c>
      <c r="C41" s="48" t="s">
        <v>79</v>
      </c>
      <c r="D41" s="63" t="s">
        <v>86</v>
      </c>
      <c r="E41" s="50">
        <v>0</v>
      </c>
      <c r="F41" s="50">
        <v>0</v>
      </c>
      <c r="G41" s="50"/>
      <c r="H41" s="50"/>
      <c r="I41" s="50"/>
      <c r="J41" s="50">
        <f t="shared" si="7"/>
        <v>160000</v>
      </c>
      <c r="K41" s="50"/>
      <c r="L41" s="50"/>
      <c r="M41" s="50"/>
      <c r="N41" s="50"/>
      <c r="O41" s="50">
        <v>160000</v>
      </c>
      <c r="P41" s="41">
        <f>J41+E41</f>
        <v>160000</v>
      </c>
      <c r="Q41" s="60"/>
    </row>
    <row r="42" spans="1:18" s="47" customFormat="1" ht="39" customHeight="1">
      <c r="A42" s="31" t="s">
        <v>87</v>
      </c>
      <c r="B42" s="64"/>
      <c r="C42" s="31"/>
      <c r="D42" s="40" t="s">
        <v>88</v>
      </c>
      <c r="E42" s="50">
        <f aca="true" t="shared" si="9" ref="E42:E57">F42+I42</f>
        <v>51950995.95999999</v>
      </c>
      <c r="F42" s="41">
        <f aca="true" t="shared" si="10" ref="F42:O42">F43</f>
        <v>51950995.95999999</v>
      </c>
      <c r="G42" s="41">
        <f t="shared" si="10"/>
        <v>33353007</v>
      </c>
      <c r="H42" s="41">
        <f t="shared" si="10"/>
        <v>4835534</v>
      </c>
      <c r="I42" s="41">
        <f t="shared" si="10"/>
        <v>0</v>
      </c>
      <c r="J42" s="50">
        <f t="shared" si="4"/>
        <v>2945073</v>
      </c>
      <c r="K42" s="41">
        <f t="shared" si="10"/>
        <v>2588073</v>
      </c>
      <c r="L42" s="41">
        <f t="shared" si="10"/>
        <v>357000</v>
      </c>
      <c r="M42" s="41">
        <f t="shared" si="10"/>
        <v>0</v>
      </c>
      <c r="N42" s="41">
        <f t="shared" si="10"/>
        <v>0</v>
      </c>
      <c r="O42" s="41">
        <f t="shared" si="10"/>
        <v>2588073</v>
      </c>
      <c r="P42" s="41">
        <f aca="true" t="shared" si="11" ref="P42:P57">J42+E42</f>
        <v>54896068.95999999</v>
      </c>
      <c r="Q42" s="46"/>
      <c r="R42" s="65"/>
    </row>
    <row r="43" spans="1:17" s="67" customFormat="1" ht="45" customHeight="1">
      <c r="A43" s="31" t="s">
        <v>89</v>
      </c>
      <c r="B43" s="31"/>
      <c r="C43" s="31"/>
      <c r="D43" s="40" t="s">
        <v>88</v>
      </c>
      <c r="E43" s="41">
        <f>E44+E47+E48+E49+E50+E53+E54+E51+E52+E57</f>
        <v>51950995.95999999</v>
      </c>
      <c r="F43" s="41">
        <f>F44+F47+F48+F49+F50+F53+F54+F51+F52+F57</f>
        <v>51950995.95999999</v>
      </c>
      <c r="G43" s="41">
        <f>G44+G47+G48+G49+G50+G53+G54+G51+G52+G57</f>
        <v>33353007</v>
      </c>
      <c r="H43" s="41">
        <f>H44+H47+H48+H49+H50+H53+H54+H51+H52+H57</f>
        <v>4835534</v>
      </c>
      <c r="I43" s="41">
        <f>I44+I47+I48+I49+I50+I53+I54+I51+I52+I57</f>
        <v>0</v>
      </c>
      <c r="J43" s="41">
        <f aca="true" t="shared" si="12" ref="J43:O43">J44+J47+J48+J49+J50+J53+J54+J51+J52</f>
        <v>2945073</v>
      </c>
      <c r="K43" s="41">
        <f t="shared" si="12"/>
        <v>2588073</v>
      </c>
      <c r="L43" s="41">
        <f t="shared" si="12"/>
        <v>357000</v>
      </c>
      <c r="M43" s="41">
        <f t="shared" si="12"/>
        <v>0</v>
      </c>
      <c r="N43" s="41">
        <f t="shared" si="12"/>
        <v>0</v>
      </c>
      <c r="O43" s="41">
        <f t="shared" si="12"/>
        <v>2588073</v>
      </c>
      <c r="P43" s="41">
        <f>P44+P47+P48+P49+P50+P53+P54+P51+P52+P57</f>
        <v>54896068.95999999</v>
      </c>
      <c r="Q43" s="66"/>
    </row>
    <row r="44" spans="1:18" s="69" customFormat="1" ht="96.75" customHeight="1">
      <c r="A44" s="37" t="s">
        <v>90</v>
      </c>
      <c r="B44" s="37" t="s">
        <v>91</v>
      </c>
      <c r="C44" s="37" t="s">
        <v>92</v>
      </c>
      <c r="D44" s="38" t="s">
        <v>93</v>
      </c>
      <c r="E44" s="39">
        <f t="shared" si="9"/>
        <v>47299361.95999999</v>
      </c>
      <c r="F44" s="39">
        <f>43648943+77834+1327800+86512-1182677+1607882.4+543000+1236513.16-2423600+2423600-6752800+552867.5-309253-46550+241119+200000-38000+330500+319253.9-26526+24070+264600+105000+3206200+1848000+40000-1075+7100-3952-7000</f>
        <v>47299361.95999999</v>
      </c>
      <c r="G44" s="39">
        <f>32410142+41468+70911+22330-688800+679356-910190+910190-5535081-253486-232470-38200+261683+2628030+782894</f>
        <v>30148777</v>
      </c>
      <c r="H44" s="39">
        <f>2695148+1327800-218021+439560-1313168+1313168+526881-127000+7100</f>
        <v>4651468</v>
      </c>
      <c r="I44" s="39"/>
      <c r="J44" s="39">
        <f>L44+O44</f>
        <v>2898760</v>
      </c>
      <c r="K44" s="39">
        <f>O44</f>
        <v>2541760</v>
      </c>
      <c r="L44" s="39">
        <v>357000</v>
      </c>
      <c r="M44" s="39"/>
      <c r="N44" s="39"/>
      <c r="O44" s="39">
        <f>253000+850230+30000+38227+479849+225938-241119+173000+39346+100000+308700+26526+87000+171063</f>
        <v>2541760</v>
      </c>
      <c r="P44" s="34">
        <f t="shared" si="11"/>
        <v>50198121.95999999</v>
      </c>
      <c r="Q44" s="68"/>
      <c r="R44" s="68"/>
    </row>
    <row r="45" spans="1:18" s="69" customFormat="1" ht="28.5" customHeight="1">
      <c r="A45" s="37"/>
      <c r="B45" s="37"/>
      <c r="C45" s="37"/>
      <c r="D45" s="70" t="s">
        <v>35</v>
      </c>
      <c r="E45" s="39"/>
      <c r="F45" s="39"/>
      <c r="G45" s="39"/>
      <c r="H45" s="39"/>
      <c r="I45" s="39"/>
      <c r="J45" s="39">
        <f t="shared" si="4"/>
        <v>0</v>
      </c>
      <c r="K45" s="39">
        <f aca="true" t="shared" si="13" ref="K45:K53">O45</f>
        <v>0</v>
      </c>
      <c r="L45" s="39"/>
      <c r="M45" s="39"/>
      <c r="N45" s="39"/>
      <c r="O45" s="39"/>
      <c r="P45" s="34"/>
      <c r="Q45" s="68"/>
      <c r="R45" s="68"/>
    </row>
    <row r="46" spans="1:18" s="69" customFormat="1" ht="31.5" customHeight="1">
      <c r="A46" s="37"/>
      <c r="B46" s="37"/>
      <c r="C46" s="37"/>
      <c r="D46" s="70" t="s">
        <v>36</v>
      </c>
      <c r="E46" s="39">
        <f t="shared" si="9"/>
        <v>28136400</v>
      </c>
      <c r="F46" s="39">
        <f>31683000-6752800+3206200</f>
        <v>28136400</v>
      </c>
      <c r="G46" s="39">
        <f>25969672-5535081+2628030</f>
        <v>23062621</v>
      </c>
      <c r="H46" s="39"/>
      <c r="I46" s="39"/>
      <c r="J46" s="39">
        <f t="shared" si="4"/>
        <v>0</v>
      </c>
      <c r="K46" s="39">
        <f t="shared" si="13"/>
        <v>0</v>
      </c>
      <c r="L46" s="39"/>
      <c r="M46" s="39"/>
      <c r="N46" s="39"/>
      <c r="O46" s="39"/>
      <c r="P46" s="34">
        <f t="shared" si="11"/>
        <v>28136400</v>
      </c>
      <c r="Q46" s="68"/>
      <c r="R46" s="68"/>
    </row>
    <row r="47" spans="1:18" s="72" customFormat="1" ht="12.75" customHeight="1" hidden="1">
      <c r="A47" s="37" t="s">
        <v>94</v>
      </c>
      <c r="B47" s="37" t="s">
        <v>95</v>
      </c>
      <c r="C47" s="37" t="s">
        <v>96</v>
      </c>
      <c r="D47" s="38" t="s">
        <v>97</v>
      </c>
      <c r="E47" s="39">
        <f t="shared" si="9"/>
        <v>302221</v>
      </c>
      <c r="F47" s="39">
        <f>301877+36254-10910-25000</f>
        <v>302221</v>
      </c>
      <c r="G47" s="39">
        <f>247440+29716-25000</f>
        <v>252156</v>
      </c>
      <c r="H47" s="39"/>
      <c r="I47" s="39"/>
      <c r="J47" s="39">
        <f t="shared" si="4"/>
        <v>0</v>
      </c>
      <c r="K47" s="39">
        <f t="shared" si="13"/>
        <v>0</v>
      </c>
      <c r="L47" s="39"/>
      <c r="M47" s="39"/>
      <c r="N47" s="39"/>
      <c r="O47" s="39"/>
      <c r="P47" s="34">
        <f t="shared" si="11"/>
        <v>302221</v>
      </c>
      <c r="Q47" s="71"/>
      <c r="R47" s="71"/>
    </row>
    <row r="48" spans="1:18" s="69" customFormat="1" ht="48.75" customHeight="1">
      <c r="A48" s="37" t="s">
        <v>98</v>
      </c>
      <c r="B48" s="37" t="s">
        <v>99</v>
      </c>
      <c r="C48" s="37" t="s">
        <v>100</v>
      </c>
      <c r="D48" s="38" t="s">
        <v>101</v>
      </c>
      <c r="E48" s="39">
        <f t="shared" si="9"/>
        <v>793297</v>
      </c>
      <c r="F48" s="39">
        <f>722421-29000+70872+30500-1496</f>
        <v>793297</v>
      </c>
      <c r="G48" s="39">
        <f>575837-23700+58092+25000</f>
        <v>635229</v>
      </c>
      <c r="H48" s="39"/>
      <c r="I48" s="39"/>
      <c r="J48" s="39">
        <f t="shared" si="4"/>
        <v>0</v>
      </c>
      <c r="K48" s="39">
        <f t="shared" si="13"/>
        <v>0</v>
      </c>
      <c r="L48" s="39"/>
      <c r="M48" s="39"/>
      <c r="N48" s="39"/>
      <c r="O48" s="39">
        <v>0</v>
      </c>
      <c r="P48" s="34">
        <f t="shared" si="11"/>
        <v>793297</v>
      </c>
      <c r="Q48" s="68"/>
      <c r="R48" s="68"/>
    </row>
    <row r="49" spans="1:18" s="72" customFormat="1" ht="39" customHeight="1">
      <c r="A49" s="37" t="s">
        <v>102</v>
      </c>
      <c r="B49" s="37" t="s">
        <v>103</v>
      </c>
      <c r="C49" s="37" t="s">
        <v>100</v>
      </c>
      <c r="D49" s="38" t="s">
        <v>104</v>
      </c>
      <c r="E49" s="39">
        <f t="shared" si="9"/>
        <v>1570350</v>
      </c>
      <c r="F49" s="39">
        <f>1420650+1040757-41000-1040757+167439+19409-7100+3952+7000</f>
        <v>1570350</v>
      </c>
      <c r="G49" s="39">
        <f>997692+853079-33600-853079+137245+15909</f>
        <v>1117246</v>
      </c>
      <c r="H49" s="39">
        <f>191166-7100</f>
        <v>184066</v>
      </c>
      <c r="I49" s="39"/>
      <c r="J49" s="39">
        <f t="shared" si="4"/>
        <v>0</v>
      </c>
      <c r="K49" s="39">
        <f t="shared" si="13"/>
        <v>0</v>
      </c>
      <c r="L49" s="39"/>
      <c r="M49" s="39"/>
      <c r="N49" s="39"/>
      <c r="O49" s="39"/>
      <c r="P49" s="34">
        <f t="shared" si="11"/>
        <v>1570350</v>
      </c>
      <c r="Q49" s="71"/>
      <c r="R49" s="71"/>
    </row>
    <row r="50" spans="1:18" s="75" customFormat="1" ht="12.75" customHeight="1" hidden="1">
      <c r="A50" s="37" t="s">
        <v>105</v>
      </c>
      <c r="B50" s="37" t="s">
        <v>106</v>
      </c>
      <c r="C50" s="37" t="s">
        <v>100</v>
      </c>
      <c r="D50" s="38" t="s">
        <v>107</v>
      </c>
      <c r="E50" s="39">
        <f t="shared" si="9"/>
        <v>38920</v>
      </c>
      <c r="F50" s="73">
        <f>28010+10910</f>
        <v>38920</v>
      </c>
      <c r="G50" s="73"/>
      <c r="H50" s="73"/>
      <c r="I50" s="73"/>
      <c r="J50" s="39">
        <f t="shared" si="4"/>
        <v>0</v>
      </c>
      <c r="K50" s="39">
        <f t="shared" si="13"/>
        <v>0</v>
      </c>
      <c r="L50" s="73"/>
      <c r="M50" s="73"/>
      <c r="N50" s="73"/>
      <c r="O50" s="73"/>
      <c r="P50" s="34">
        <f t="shared" si="11"/>
        <v>38920</v>
      </c>
      <c r="Q50" s="74"/>
      <c r="R50" s="74"/>
    </row>
    <row r="51" spans="1:18" s="75" customFormat="1" ht="12.75" customHeight="1" hidden="1">
      <c r="A51" s="37" t="s">
        <v>108</v>
      </c>
      <c r="B51" s="37" t="s">
        <v>109</v>
      </c>
      <c r="C51" s="37" t="s">
        <v>100</v>
      </c>
      <c r="D51" s="38" t="s">
        <v>110</v>
      </c>
      <c r="E51" s="39">
        <f t="shared" si="9"/>
        <v>1040757</v>
      </c>
      <c r="F51" s="73">
        <f>1266695-92000-133938</f>
        <v>1040757</v>
      </c>
      <c r="G51" s="73">
        <v>853079</v>
      </c>
      <c r="H51" s="73"/>
      <c r="I51" s="73"/>
      <c r="J51" s="39">
        <f>L51+O51</f>
        <v>0</v>
      </c>
      <c r="K51" s="39">
        <f>O51</f>
        <v>0</v>
      </c>
      <c r="L51" s="73"/>
      <c r="M51" s="73"/>
      <c r="N51" s="73"/>
      <c r="O51" s="73">
        <f>92000+133938-225938</f>
        <v>0</v>
      </c>
      <c r="P51" s="34">
        <f t="shared" si="11"/>
        <v>1040757</v>
      </c>
      <c r="Q51" s="74"/>
      <c r="R51" s="74"/>
    </row>
    <row r="52" spans="1:18" s="75" customFormat="1" ht="12.75" customHeight="1" hidden="1">
      <c r="A52" s="37" t="s">
        <v>111</v>
      </c>
      <c r="B52" s="37" t="s">
        <v>112</v>
      </c>
      <c r="C52" s="37" t="s">
        <v>54</v>
      </c>
      <c r="D52" s="38" t="s">
        <v>113</v>
      </c>
      <c r="E52" s="39">
        <f t="shared" si="9"/>
        <v>227000</v>
      </c>
      <c r="F52" s="73">
        <f>189000+38000</f>
        <v>227000</v>
      </c>
      <c r="G52" s="73"/>
      <c r="H52" s="73"/>
      <c r="I52" s="73"/>
      <c r="J52" s="39">
        <f>L52+O52</f>
        <v>0</v>
      </c>
      <c r="K52" s="39">
        <f>O52</f>
        <v>0</v>
      </c>
      <c r="L52" s="73"/>
      <c r="M52" s="73"/>
      <c r="N52" s="73"/>
      <c r="O52" s="73"/>
      <c r="P52" s="34">
        <f t="shared" si="11"/>
        <v>227000</v>
      </c>
      <c r="Q52" s="74"/>
      <c r="R52" s="74"/>
    </row>
    <row r="53" spans="1:18" s="22" customFormat="1" ht="51.75" customHeight="1">
      <c r="A53" s="37" t="s">
        <v>114</v>
      </c>
      <c r="B53" s="76">
        <v>5031</v>
      </c>
      <c r="C53" s="37" t="s">
        <v>115</v>
      </c>
      <c r="D53" s="38" t="s">
        <v>116</v>
      </c>
      <c r="E53" s="39">
        <f t="shared" si="9"/>
        <v>428589</v>
      </c>
      <c r="F53" s="39">
        <f>416239+15279-4425+1496</f>
        <v>428589</v>
      </c>
      <c r="G53" s="77">
        <f>333996+12524</f>
        <v>346520</v>
      </c>
      <c r="H53" s="77"/>
      <c r="I53" s="77"/>
      <c r="J53" s="39">
        <f t="shared" si="4"/>
        <v>0</v>
      </c>
      <c r="K53" s="39">
        <f t="shared" si="13"/>
        <v>0</v>
      </c>
      <c r="L53" s="77"/>
      <c r="M53" s="77"/>
      <c r="N53" s="77"/>
      <c r="O53" s="77"/>
      <c r="P53" s="34">
        <f t="shared" si="11"/>
        <v>428589</v>
      </c>
      <c r="Q53" s="21"/>
      <c r="R53" s="71"/>
    </row>
    <row r="54" spans="1:18" s="80" customFormat="1" ht="12.75" customHeight="1" hidden="1">
      <c r="A54" s="48" t="s">
        <v>117</v>
      </c>
      <c r="B54" s="62">
        <v>7321</v>
      </c>
      <c r="C54" s="48" t="s">
        <v>65</v>
      </c>
      <c r="D54" s="63" t="s">
        <v>118</v>
      </c>
      <c r="E54" s="50">
        <f t="shared" si="9"/>
        <v>0</v>
      </c>
      <c r="F54" s="50"/>
      <c r="G54" s="59"/>
      <c r="H54" s="59"/>
      <c r="I54" s="59"/>
      <c r="J54" s="50">
        <f t="shared" si="4"/>
        <v>46313</v>
      </c>
      <c r="K54" s="50">
        <v>46313</v>
      </c>
      <c r="L54" s="59"/>
      <c r="M54" s="59"/>
      <c r="N54" s="59"/>
      <c r="O54" s="59">
        <f>K54</f>
        <v>46313</v>
      </c>
      <c r="P54" s="41">
        <f t="shared" si="11"/>
        <v>46313</v>
      </c>
      <c r="Q54" s="78"/>
      <c r="R54" s="79"/>
    </row>
    <row r="55" spans="1:18" s="80" customFormat="1" ht="12.75" customHeight="1" hidden="1">
      <c r="A55" s="48"/>
      <c r="B55" s="62"/>
      <c r="C55" s="48"/>
      <c r="D55" s="63"/>
      <c r="E55" s="50">
        <f t="shared" si="9"/>
        <v>0</v>
      </c>
      <c r="F55" s="50"/>
      <c r="G55" s="59"/>
      <c r="H55" s="59"/>
      <c r="I55" s="59"/>
      <c r="J55" s="50">
        <f t="shared" si="4"/>
        <v>0</v>
      </c>
      <c r="K55" s="50"/>
      <c r="L55" s="59"/>
      <c r="M55" s="59"/>
      <c r="N55" s="59"/>
      <c r="O55" s="59"/>
      <c r="P55" s="41">
        <f t="shared" si="11"/>
        <v>0</v>
      </c>
      <c r="Q55" s="78"/>
      <c r="R55" s="79"/>
    </row>
    <row r="56" spans="1:18" s="80" customFormat="1" ht="12.75" customHeight="1" hidden="1">
      <c r="A56" s="48"/>
      <c r="B56" s="62"/>
      <c r="C56" s="48"/>
      <c r="D56" s="63"/>
      <c r="E56" s="50">
        <f t="shared" si="9"/>
        <v>0</v>
      </c>
      <c r="F56" s="50"/>
      <c r="G56" s="59"/>
      <c r="H56" s="59"/>
      <c r="I56" s="59"/>
      <c r="J56" s="50">
        <f t="shared" si="4"/>
        <v>0</v>
      </c>
      <c r="K56" s="50"/>
      <c r="L56" s="59"/>
      <c r="M56" s="59"/>
      <c r="N56" s="59"/>
      <c r="O56" s="59"/>
      <c r="P56" s="41">
        <f t="shared" si="11"/>
        <v>0</v>
      </c>
      <c r="Q56" s="78"/>
      <c r="R56" s="79"/>
    </row>
    <row r="57" spans="1:18" s="80" customFormat="1" ht="12.75" customHeight="1" hidden="1">
      <c r="A57" s="48" t="s">
        <v>119</v>
      </c>
      <c r="B57" s="62">
        <v>7364</v>
      </c>
      <c r="C57" s="48" t="s">
        <v>39</v>
      </c>
      <c r="D57" s="63" t="s">
        <v>73</v>
      </c>
      <c r="E57" s="50">
        <f t="shared" si="9"/>
        <v>250500</v>
      </c>
      <c r="F57" s="50">
        <f>120500+130000</f>
        <v>250500</v>
      </c>
      <c r="G57" s="59"/>
      <c r="H57" s="59"/>
      <c r="I57" s="59"/>
      <c r="J57" s="50">
        <f t="shared" si="4"/>
        <v>0</v>
      </c>
      <c r="K57" s="50"/>
      <c r="L57" s="59"/>
      <c r="M57" s="59"/>
      <c r="N57" s="59"/>
      <c r="O57" s="59"/>
      <c r="P57" s="41">
        <f t="shared" si="11"/>
        <v>250500</v>
      </c>
      <c r="Q57" s="78"/>
      <c r="R57" s="79"/>
    </row>
    <row r="58" spans="1:18" s="47" customFormat="1" ht="52.5" customHeight="1">
      <c r="A58" s="31" t="s">
        <v>120</v>
      </c>
      <c r="B58" s="31"/>
      <c r="C58" s="30"/>
      <c r="D58" s="40" t="s">
        <v>121</v>
      </c>
      <c r="E58" s="41">
        <f>E59</f>
        <v>88227927.2</v>
      </c>
      <c r="F58" s="41">
        <f aca="true" t="shared" si="14" ref="F58:O58">F59</f>
        <v>88227927.2</v>
      </c>
      <c r="G58" s="41">
        <f t="shared" si="14"/>
        <v>4106315</v>
      </c>
      <c r="H58" s="41">
        <f t="shared" si="14"/>
        <v>245888</v>
      </c>
      <c r="I58" s="41">
        <f t="shared" si="14"/>
        <v>0</v>
      </c>
      <c r="J58" s="41">
        <f t="shared" si="14"/>
        <v>724909</v>
      </c>
      <c r="K58" s="41">
        <f t="shared" si="14"/>
        <v>724909</v>
      </c>
      <c r="L58" s="41">
        <f t="shared" si="14"/>
        <v>0</v>
      </c>
      <c r="M58" s="41">
        <f t="shared" si="14"/>
        <v>0</v>
      </c>
      <c r="N58" s="41">
        <f t="shared" si="14"/>
        <v>0</v>
      </c>
      <c r="O58" s="41">
        <f t="shared" si="14"/>
        <v>724909</v>
      </c>
      <c r="P58" s="41">
        <f>P59</f>
        <v>88952836.2</v>
      </c>
      <c r="Q58" s="46"/>
      <c r="R58" s="81"/>
    </row>
    <row r="59" spans="1:18" s="47" customFormat="1" ht="60" customHeight="1">
      <c r="A59" s="31" t="s">
        <v>122</v>
      </c>
      <c r="B59" s="31"/>
      <c r="C59" s="30"/>
      <c r="D59" s="32" t="s">
        <v>121</v>
      </c>
      <c r="E59" s="41">
        <f aca="true" t="shared" si="15" ref="E59:P59">SUM(E60:E82)</f>
        <v>88227927.2</v>
      </c>
      <c r="F59" s="41">
        <f t="shared" si="15"/>
        <v>88227927.2</v>
      </c>
      <c r="G59" s="41">
        <f t="shared" si="15"/>
        <v>4106315</v>
      </c>
      <c r="H59" s="41">
        <f t="shared" si="15"/>
        <v>245888</v>
      </c>
      <c r="I59" s="41">
        <f t="shared" si="15"/>
        <v>0</v>
      </c>
      <c r="J59" s="41">
        <f t="shared" si="15"/>
        <v>724909</v>
      </c>
      <c r="K59" s="41">
        <f t="shared" si="15"/>
        <v>724909</v>
      </c>
      <c r="L59" s="41">
        <f t="shared" si="15"/>
        <v>0</v>
      </c>
      <c r="M59" s="41">
        <f t="shared" si="15"/>
        <v>0</v>
      </c>
      <c r="N59" s="41">
        <f t="shared" si="15"/>
        <v>0</v>
      </c>
      <c r="O59" s="41">
        <f t="shared" si="15"/>
        <v>724909</v>
      </c>
      <c r="P59" s="41">
        <f t="shared" si="15"/>
        <v>88952836.2</v>
      </c>
      <c r="Q59" s="46"/>
      <c r="R59" s="79"/>
    </row>
    <row r="60" spans="1:18" s="47" customFormat="1" ht="12.75" customHeight="1" hidden="1">
      <c r="A60" s="48" t="s">
        <v>123</v>
      </c>
      <c r="B60" s="62">
        <v>3230</v>
      </c>
      <c r="C60" s="48" t="s">
        <v>54</v>
      </c>
      <c r="D60" s="38" t="s">
        <v>124</v>
      </c>
      <c r="E60" s="50">
        <f aca="true" t="shared" si="16" ref="E60:E65">F60+I60</f>
        <v>1751283</v>
      </c>
      <c r="F60" s="50">
        <f>2451283-400000-300000</f>
        <v>1751283</v>
      </c>
      <c r="G60" s="50"/>
      <c r="H60" s="50"/>
      <c r="I60" s="50"/>
      <c r="J60" s="50">
        <f t="shared" si="4"/>
        <v>0</v>
      </c>
      <c r="K60" s="50"/>
      <c r="L60" s="50"/>
      <c r="M60" s="50"/>
      <c r="N60" s="50"/>
      <c r="O60" s="50"/>
      <c r="P60" s="41">
        <f>J60+E60</f>
        <v>1751283</v>
      </c>
      <c r="Q60" s="46"/>
      <c r="R60" s="79"/>
    </row>
    <row r="61" spans="1:17" s="80" customFormat="1" ht="64.5" customHeight="1">
      <c r="A61" s="37" t="s">
        <v>125</v>
      </c>
      <c r="B61" s="37" t="s">
        <v>126</v>
      </c>
      <c r="C61" s="37" t="s">
        <v>127</v>
      </c>
      <c r="D61" s="38" t="s">
        <v>128</v>
      </c>
      <c r="E61" s="50">
        <f t="shared" si="16"/>
        <v>4745884.04</v>
      </c>
      <c r="F61" s="50">
        <f>3000000+902088+362774+3197478.01-1923024.02-273698.99-585225.35+14756.76+49869.55+866.08</f>
        <v>4745884.04</v>
      </c>
      <c r="G61" s="82"/>
      <c r="H61" s="82"/>
      <c r="I61" s="82"/>
      <c r="J61" s="50">
        <f t="shared" si="4"/>
        <v>0</v>
      </c>
      <c r="K61" s="50"/>
      <c r="L61" s="82"/>
      <c r="M61" s="82"/>
      <c r="N61" s="82"/>
      <c r="O61" s="82"/>
      <c r="P61" s="83">
        <f>J61+E61</f>
        <v>4745884.04</v>
      </c>
      <c r="Q61" s="78"/>
    </row>
    <row r="62" spans="1:17" s="80" customFormat="1" ht="65.25" customHeight="1">
      <c r="A62" s="37" t="s">
        <v>129</v>
      </c>
      <c r="B62" s="84">
        <v>3012</v>
      </c>
      <c r="C62" s="85">
        <v>1060</v>
      </c>
      <c r="D62" s="38" t="s">
        <v>130</v>
      </c>
      <c r="E62" s="50">
        <f t="shared" si="16"/>
        <v>15914209.160000002</v>
      </c>
      <c r="F62" s="50">
        <f>30163200-902088-362774-3197478.01-8508975.98-1226301.01-34874.65-14756.76-876.35-866.08</f>
        <v>15914209.160000002</v>
      </c>
      <c r="G62" s="50"/>
      <c r="H62" s="50"/>
      <c r="I62" s="50"/>
      <c r="J62" s="50">
        <f t="shared" si="4"/>
        <v>0</v>
      </c>
      <c r="K62" s="50"/>
      <c r="L62" s="50"/>
      <c r="M62" s="50"/>
      <c r="N62" s="50"/>
      <c r="O62" s="50"/>
      <c r="P62" s="41">
        <f>J62+E62</f>
        <v>15914209.160000002</v>
      </c>
      <c r="Q62" s="78"/>
    </row>
    <row r="63" spans="1:17" s="80" customFormat="1" ht="12.75" customHeight="1" hidden="1">
      <c r="A63" s="37" t="s">
        <v>131</v>
      </c>
      <c r="B63" s="37" t="s">
        <v>132</v>
      </c>
      <c r="C63" s="37" t="s">
        <v>127</v>
      </c>
      <c r="D63" s="38" t="s">
        <v>133</v>
      </c>
      <c r="E63" s="50">
        <f t="shared" si="16"/>
        <v>220000</v>
      </c>
      <c r="F63" s="50">
        <v>220000</v>
      </c>
      <c r="G63" s="82"/>
      <c r="H63" s="82"/>
      <c r="I63" s="82"/>
      <c r="J63" s="50">
        <f t="shared" si="4"/>
        <v>0</v>
      </c>
      <c r="K63" s="50"/>
      <c r="L63" s="82"/>
      <c r="M63" s="82"/>
      <c r="N63" s="82"/>
      <c r="O63" s="82"/>
      <c r="P63" s="41">
        <f aca="true" t="shared" si="17" ref="P63:P82">J63+E63</f>
        <v>220000</v>
      </c>
      <c r="Q63" s="78"/>
    </row>
    <row r="64" spans="1:17" s="80" customFormat="1" ht="12.75" customHeight="1" hidden="1">
      <c r="A64" s="37" t="s">
        <v>134</v>
      </c>
      <c r="B64" s="84">
        <v>3022</v>
      </c>
      <c r="C64" s="86">
        <v>1060</v>
      </c>
      <c r="D64" s="38" t="s">
        <v>135</v>
      </c>
      <c r="E64" s="50">
        <f t="shared" si="16"/>
        <v>769200</v>
      </c>
      <c r="F64" s="50">
        <v>769200</v>
      </c>
      <c r="G64" s="87"/>
      <c r="H64" s="87"/>
      <c r="I64" s="87"/>
      <c r="J64" s="50">
        <f t="shared" si="4"/>
        <v>0</v>
      </c>
      <c r="K64" s="50"/>
      <c r="L64" s="87"/>
      <c r="M64" s="87"/>
      <c r="N64" s="87"/>
      <c r="O64" s="87"/>
      <c r="P64" s="41">
        <f t="shared" si="17"/>
        <v>769200</v>
      </c>
      <c r="Q64" s="78"/>
    </row>
    <row r="65" spans="1:17" s="80" customFormat="1" ht="12.75" customHeight="1" hidden="1">
      <c r="A65" s="37" t="s">
        <v>136</v>
      </c>
      <c r="B65" s="37" t="s">
        <v>137</v>
      </c>
      <c r="C65" s="37" t="s">
        <v>54</v>
      </c>
      <c r="D65" s="38" t="s">
        <v>138</v>
      </c>
      <c r="E65" s="50">
        <f t="shared" si="16"/>
        <v>330000</v>
      </c>
      <c r="F65" s="50">
        <v>330000</v>
      </c>
      <c r="G65" s="50"/>
      <c r="H65" s="50"/>
      <c r="I65" s="50"/>
      <c r="J65" s="50">
        <f t="shared" si="4"/>
        <v>0</v>
      </c>
      <c r="K65" s="50"/>
      <c r="L65" s="50"/>
      <c r="M65" s="50"/>
      <c r="N65" s="50"/>
      <c r="O65" s="50"/>
      <c r="P65" s="41">
        <f t="shared" si="17"/>
        <v>330000</v>
      </c>
      <c r="Q65" s="78"/>
    </row>
    <row r="66" spans="1:17" s="80" customFormat="1" ht="12.75" customHeight="1" hidden="1">
      <c r="A66" s="37" t="s">
        <v>139</v>
      </c>
      <c r="B66" s="37" t="s">
        <v>140</v>
      </c>
      <c r="C66" s="37" t="s">
        <v>54</v>
      </c>
      <c r="D66" s="38" t="s">
        <v>141</v>
      </c>
      <c r="E66" s="50">
        <f aca="true" t="shared" si="18" ref="E66:E77">F66+I66</f>
        <v>85000</v>
      </c>
      <c r="F66" s="50">
        <v>85000</v>
      </c>
      <c r="G66" s="50"/>
      <c r="H66" s="50"/>
      <c r="I66" s="50"/>
      <c r="J66" s="50">
        <f t="shared" si="4"/>
        <v>0</v>
      </c>
      <c r="K66" s="50"/>
      <c r="L66" s="50"/>
      <c r="M66" s="50"/>
      <c r="N66" s="50"/>
      <c r="O66" s="50"/>
      <c r="P66" s="41">
        <f t="shared" si="17"/>
        <v>85000</v>
      </c>
      <c r="Q66" s="78"/>
    </row>
    <row r="67" spans="1:17" s="80" customFormat="1" ht="32.25" customHeight="1">
      <c r="A67" s="37" t="s">
        <v>142</v>
      </c>
      <c r="B67" s="37" t="s">
        <v>143</v>
      </c>
      <c r="C67" s="37" t="s">
        <v>54</v>
      </c>
      <c r="D67" s="38" t="s">
        <v>144</v>
      </c>
      <c r="E67" s="50">
        <f t="shared" si="18"/>
        <v>13947900</v>
      </c>
      <c r="F67" s="50">
        <f>18104900-2367000-1700000-50000-40000</f>
        <v>13947900</v>
      </c>
      <c r="G67" s="50"/>
      <c r="H67" s="50"/>
      <c r="I67" s="50"/>
      <c r="J67" s="50">
        <f t="shared" si="4"/>
        <v>0</v>
      </c>
      <c r="K67" s="50"/>
      <c r="L67" s="50"/>
      <c r="M67" s="50"/>
      <c r="N67" s="50"/>
      <c r="O67" s="50"/>
      <c r="P67" s="41">
        <f t="shared" si="17"/>
        <v>13947900</v>
      </c>
      <c r="Q67" s="78"/>
    </row>
    <row r="68" spans="1:17" s="80" customFormat="1" ht="12.75" customHeight="1" hidden="1">
      <c r="A68" s="37" t="s">
        <v>145</v>
      </c>
      <c r="B68" s="37" t="s">
        <v>146</v>
      </c>
      <c r="C68" s="37" t="s">
        <v>54</v>
      </c>
      <c r="D68" s="38" t="s">
        <v>147</v>
      </c>
      <c r="E68" s="50">
        <f t="shared" si="18"/>
        <v>4850000</v>
      </c>
      <c r="F68" s="50">
        <v>4850000</v>
      </c>
      <c r="G68" s="50"/>
      <c r="H68" s="50"/>
      <c r="I68" s="50"/>
      <c r="J68" s="50">
        <f t="shared" si="4"/>
        <v>0</v>
      </c>
      <c r="K68" s="50"/>
      <c r="L68" s="50"/>
      <c r="M68" s="50"/>
      <c r="N68" s="50"/>
      <c r="O68" s="50"/>
      <c r="P68" s="41">
        <f t="shared" si="17"/>
        <v>4850000</v>
      </c>
      <c r="Q68" s="78"/>
    </row>
    <row r="69" spans="1:17" s="80" customFormat="1" ht="12.75" customHeight="1" hidden="1">
      <c r="A69" s="37" t="s">
        <v>148</v>
      </c>
      <c r="B69" s="37" t="s">
        <v>149</v>
      </c>
      <c r="C69" s="37" t="s">
        <v>54</v>
      </c>
      <c r="D69" s="38" t="s">
        <v>150</v>
      </c>
      <c r="E69" s="50">
        <f>F69+I69</f>
        <v>11820000</v>
      </c>
      <c r="F69" s="50">
        <v>11820000</v>
      </c>
      <c r="G69" s="50"/>
      <c r="H69" s="50"/>
      <c r="I69" s="50"/>
      <c r="J69" s="50">
        <f t="shared" si="4"/>
        <v>0</v>
      </c>
      <c r="K69" s="50"/>
      <c r="L69" s="50"/>
      <c r="M69" s="50"/>
      <c r="N69" s="50"/>
      <c r="O69" s="50"/>
      <c r="P69" s="41">
        <f t="shared" si="17"/>
        <v>11820000</v>
      </c>
      <c r="Q69" s="78"/>
    </row>
    <row r="70" spans="1:17" s="80" customFormat="1" ht="12.75" customHeight="1" hidden="1">
      <c r="A70" s="37" t="s">
        <v>151</v>
      </c>
      <c r="B70" s="37" t="s">
        <v>152</v>
      </c>
      <c r="C70" s="37" t="s">
        <v>54</v>
      </c>
      <c r="D70" s="38" t="s">
        <v>153</v>
      </c>
      <c r="E70" s="50">
        <f t="shared" si="18"/>
        <v>155000</v>
      </c>
      <c r="F70" s="50">
        <v>155000</v>
      </c>
      <c r="G70" s="50"/>
      <c r="H70" s="50"/>
      <c r="I70" s="50"/>
      <c r="J70" s="50">
        <f t="shared" si="4"/>
        <v>0</v>
      </c>
      <c r="K70" s="50"/>
      <c r="L70" s="50"/>
      <c r="M70" s="50"/>
      <c r="N70" s="50"/>
      <c r="O70" s="50"/>
      <c r="P70" s="41">
        <f t="shared" si="17"/>
        <v>155000</v>
      </c>
      <c r="Q70" s="78"/>
    </row>
    <row r="71" spans="1:17" s="80" customFormat="1" ht="12.75" customHeight="1" hidden="1">
      <c r="A71" s="37" t="s">
        <v>154</v>
      </c>
      <c r="B71" s="37" t="s">
        <v>155</v>
      </c>
      <c r="C71" s="37" t="s">
        <v>54</v>
      </c>
      <c r="D71" s="38" t="s">
        <v>156</v>
      </c>
      <c r="E71" s="50">
        <f t="shared" si="18"/>
        <v>11200000</v>
      </c>
      <c r="F71" s="50">
        <v>11200000</v>
      </c>
      <c r="G71" s="50"/>
      <c r="H71" s="50"/>
      <c r="I71" s="50"/>
      <c r="J71" s="50">
        <f t="shared" si="4"/>
        <v>0</v>
      </c>
      <c r="K71" s="50"/>
      <c r="L71" s="50"/>
      <c r="M71" s="50"/>
      <c r="N71" s="50"/>
      <c r="O71" s="50"/>
      <c r="P71" s="41">
        <f t="shared" si="17"/>
        <v>11200000</v>
      </c>
      <c r="Q71" s="78"/>
    </row>
    <row r="72" spans="1:17" s="80" customFormat="1" ht="12.75" customHeight="1" hidden="1">
      <c r="A72" s="37" t="s">
        <v>157</v>
      </c>
      <c r="B72" s="37" t="s">
        <v>158</v>
      </c>
      <c r="C72" s="37" t="s">
        <v>159</v>
      </c>
      <c r="D72" s="38" t="s">
        <v>160</v>
      </c>
      <c r="E72" s="50">
        <f t="shared" si="18"/>
        <v>8500000</v>
      </c>
      <c r="F72" s="50">
        <v>8500000</v>
      </c>
      <c r="G72" s="88"/>
      <c r="H72" s="88"/>
      <c r="I72" s="88"/>
      <c r="J72" s="50">
        <f t="shared" si="4"/>
        <v>0</v>
      </c>
      <c r="K72" s="50"/>
      <c r="L72" s="88"/>
      <c r="M72" s="88"/>
      <c r="N72" s="88"/>
      <c r="O72" s="88"/>
      <c r="P72" s="41">
        <f t="shared" si="17"/>
        <v>8500000</v>
      </c>
      <c r="Q72" s="78"/>
    </row>
    <row r="73" spans="1:17" s="80" customFormat="1" ht="65.25" customHeight="1">
      <c r="A73" s="37" t="s">
        <v>161</v>
      </c>
      <c r="B73" s="37" t="s">
        <v>162</v>
      </c>
      <c r="C73" s="37" t="s">
        <v>159</v>
      </c>
      <c r="D73" s="38" t="s">
        <v>163</v>
      </c>
      <c r="E73" s="50">
        <f t="shared" si="18"/>
        <v>2540000</v>
      </c>
      <c r="F73" s="50">
        <f>2500000+40000</f>
        <v>2540000</v>
      </c>
      <c r="G73" s="88"/>
      <c r="H73" s="88"/>
      <c r="I73" s="88"/>
      <c r="J73" s="50">
        <f t="shared" si="4"/>
        <v>0</v>
      </c>
      <c r="K73" s="50"/>
      <c r="L73" s="88"/>
      <c r="M73" s="88"/>
      <c r="N73" s="88"/>
      <c r="O73" s="88"/>
      <c r="P73" s="41">
        <f t="shared" si="17"/>
        <v>2540000</v>
      </c>
      <c r="Q73" s="78"/>
    </row>
    <row r="74" spans="1:17" s="80" customFormat="1" ht="12.75" customHeight="1" hidden="1">
      <c r="A74" s="37" t="s">
        <v>164</v>
      </c>
      <c r="B74" s="37" t="s">
        <v>165</v>
      </c>
      <c r="C74" s="37" t="s">
        <v>159</v>
      </c>
      <c r="D74" s="38" t="s">
        <v>166</v>
      </c>
      <c r="E74" s="50">
        <f t="shared" si="18"/>
        <v>1200000</v>
      </c>
      <c r="F74" s="50">
        <v>1200000</v>
      </c>
      <c r="G74" s="59"/>
      <c r="H74" s="59"/>
      <c r="I74" s="59"/>
      <c r="J74" s="50">
        <f t="shared" si="4"/>
        <v>0</v>
      </c>
      <c r="K74" s="50"/>
      <c r="L74" s="59"/>
      <c r="M74" s="59"/>
      <c r="N74" s="59"/>
      <c r="O74" s="59"/>
      <c r="P74" s="41">
        <f t="shared" si="17"/>
        <v>1200000</v>
      </c>
      <c r="Q74" s="78"/>
    </row>
    <row r="75" spans="1:17" s="80" customFormat="1" ht="12.75" customHeight="1" hidden="1">
      <c r="A75" s="37" t="s">
        <v>167</v>
      </c>
      <c r="B75" s="37" t="s">
        <v>168</v>
      </c>
      <c r="C75" s="37" t="s">
        <v>54</v>
      </c>
      <c r="D75" s="38" t="s">
        <v>169</v>
      </c>
      <c r="E75" s="50">
        <f t="shared" si="18"/>
        <v>307000</v>
      </c>
      <c r="F75" s="50">
        <f>100000+157000+50000</f>
        <v>307000</v>
      </c>
      <c r="G75" s="59"/>
      <c r="H75" s="59"/>
      <c r="I75" s="59"/>
      <c r="J75" s="50">
        <f t="shared" si="4"/>
        <v>0</v>
      </c>
      <c r="K75" s="50"/>
      <c r="L75" s="59"/>
      <c r="M75" s="59"/>
      <c r="N75" s="59"/>
      <c r="O75" s="59"/>
      <c r="P75" s="41">
        <f t="shared" si="17"/>
        <v>307000</v>
      </c>
      <c r="Q75" s="78"/>
    </row>
    <row r="76" spans="1:17" s="80" customFormat="1" ht="12.75" customHeight="1" hidden="1">
      <c r="A76" s="37" t="s">
        <v>170</v>
      </c>
      <c r="B76" s="37" t="s">
        <v>171</v>
      </c>
      <c r="C76" s="37" t="s">
        <v>159</v>
      </c>
      <c r="D76" s="38" t="s">
        <v>172</v>
      </c>
      <c r="E76" s="50">
        <f t="shared" si="18"/>
        <v>25000</v>
      </c>
      <c r="F76" s="50">
        <v>25000</v>
      </c>
      <c r="G76" s="59"/>
      <c r="H76" s="59"/>
      <c r="I76" s="59"/>
      <c r="J76" s="50">
        <f t="shared" si="4"/>
        <v>0</v>
      </c>
      <c r="K76" s="50"/>
      <c r="L76" s="59"/>
      <c r="M76" s="59"/>
      <c r="N76" s="59"/>
      <c r="O76" s="59"/>
      <c r="P76" s="41">
        <f t="shared" si="17"/>
        <v>25000</v>
      </c>
      <c r="Q76" s="78"/>
    </row>
    <row r="77" spans="1:17" s="80" customFormat="1" ht="12.75" customHeight="1" hidden="1">
      <c r="A77" s="37" t="s">
        <v>173</v>
      </c>
      <c r="B77" s="37" t="s">
        <v>174</v>
      </c>
      <c r="C77" s="37" t="s">
        <v>54</v>
      </c>
      <c r="D77" s="38" t="s">
        <v>175</v>
      </c>
      <c r="E77" s="50">
        <f t="shared" si="18"/>
        <v>3910000</v>
      </c>
      <c r="F77" s="50">
        <f>2210000+1700000</f>
        <v>3910000</v>
      </c>
      <c r="G77" s="59"/>
      <c r="H77" s="59"/>
      <c r="I77" s="59"/>
      <c r="J77" s="50">
        <f t="shared" si="4"/>
        <v>0</v>
      </c>
      <c r="K77" s="50"/>
      <c r="L77" s="59"/>
      <c r="M77" s="59"/>
      <c r="N77" s="59"/>
      <c r="O77" s="59"/>
      <c r="P77" s="41">
        <f t="shared" si="17"/>
        <v>3910000</v>
      </c>
      <c r="Q77" s="78"/>
    </row>
    <row r="78" spans="1:17" s="90" customFormat="1" ht="1.5" customHeight="1">
      <c r="A78" s="37" t="s">
        <v>176</v>
      </c>
      <c r="B78" s="37" t="s">
        <v>177</v>
      </c>
      <c r="C78" s="37" t="s">
        <v>95</v>
      </c>
      <c r="D78" s="38" t="s">
        <v>178</v>
      </c>
      <c r="E78" s="50">
        <f aca="true" t="shared" si="19" ref="E78:E85">F78+I78</f>
        <v>339000</v>
      </c>
      <c r="F78" s="50">
        <f>31000+22500+37000+21000+32000+50000+15000+20000+36000+40000+34500</f>
        <v>339000</v>
      </c>
      <c r="G78" s="59"/>
      <c r="H78" s="59"/>
      <c r="I78" s="59"/>
      <c r="J78" s="50">
        <f t="shared" si="4"/>
        <v>0</v>
      </c>
      <c r="K78" s="50"/>
      <c r="L78" s="59"/>
      <c r="M78" s="59"/>
      <c r="N78" s="59"/>
      <c r="O78" s="59"/>
      <c r="P78" s="41">
        <f t="shared" si="17"/>
        <v>339000</v>
      </c>
      <c r="Q78" s="89"/>
    </row>
    <row r="79" spans="1:17" s="91" customFormat="1" ht="94.5" customHeight="1">
      <c r="A79" s="37" t="s">
        <v>179</v>
      </c>
      <c r="B79" s="37" t="s">
        <v>180</v>
      </c>
      <c r="C79" s="37" t="s">
        <v>91</v>
      </c>
      <c r="D79" s="38" t="s">
        <v>181</v>
      </c>
      <c r="E79" s="50">
        <f t="shared" si="19"/>
        <v>5583678</v>
      </c>
      <c r="F79" s="50">
        <f>2583910-63460+1568950-431255+20000+100000+61370+111223+440732+24300+423000+78000+100000+127000+190000+250000-92</f>
        <v>5583678</v>
      </c>
      <c r="G79" s="39">
        <f>1961616-52016+1148435-353488-38250+66000+50303+59223+40732+288000-4830+324590+64000+82000+105000+156000+9000+200000</f>
        <v>4106315</v>
      </c>
      <c r="H79" s="50">
        <f>138738+57900+12250+7150+21850+28000+5000-8000-17000</f>
        <v>245888</v>
      </c>
      <c r="I79" s="50"/>
      <c r="J79" s="50">
        <f t="shared" si="4"/>
        <v>0</v>
      </c>
      <c r="K79" s="50"/>
      <c r="L79" s="59"/>
      <c r="M79" s="59"/>
      <c r="N79" s="59"/>
      <c r="O79" s="50"/>
      <c r="P79" s="41">
        <f t="shared" si="17"/>
        <v>5583678</v>
      </c>
      <c r="Q79" s="51"/>
    </row>
    <row r="80" spans="1:17" s="80" customFormat="1" ht="98.25" customHeight="1">
      <c r="A80" s="37" t="s">
        <v>182</v>
      </c>
      <c r="B80" s="37" t="s">
        <v>183</v>
      </c>
      <c r="C80" s="37" t="s">
        <v>159</v>
      </c>
      <c r="D80" s="38" t="s">
        <v>184</v>
      </c>
      <c r="E80" s="50">
        <f t="shared" si="19"/>
        <v>34773</v>
      </c>
      <c r="F80" s="50">
        <f>13815+20866+92</f>
        <v>34773</v>
      </c>
      <c r="G80" s="59"/>
      <c r="H80" s="92"/>
      <c r="I80" s="92"/>
      <c r="J80" s="50">
        <f t="shared" si="4"/>
        <v>0</v>
      </c>
      <c r="K80" s="50"/>
      <c r="L80" s="59"/>
      <c r="M80" s="59"/>
      <c r="N80" s="59"/>
      <c r="O80" s="59"/>
      <c r="P80" s="41">
        <f t="shared" si="17"/>
        <v>34773</v>
      </c>
      <c r="Q80" s="78"/>
    </row>
    <row r="81" spans="1:17" s="80" customFormat="1" ht="12.75" customHeight="1" hidden="1">
      <c r="A81" s="37" t="s">
        <v>185</v>
      </c>
      <c r="B81" s="37" t="s">
        <v>186</v>
      </c>
      <c r="C81" s="37" t="s">
        <v>187</v>
      </c>
      <c r="D81" s="38" t="s">
        <v>188</v>
      </c>
      <c r="E81" s="50">
        <f t="shared" si="19"/>
        <v>0</v>
      </c>
      <c r="F81" s="50">
        <f>356128-356128</f>
        <v>0</v>
      </c>
      <c r="G81" s="50"/>
      <c r="H81" s="50"/>
      <c r="I81" s="50"/>
      <c r="J81" s="50">
        <f>L81+O81</f>
        <v>712256</v>
      </c>
      <c r="K81" s="50">
        <f>356128+356128</f>
        <v>712256</v>
      </c>
      <c r="L81" s="50"/>
      <c r="M81" s="50"/>
      <c r="N81" s="50"/>
      <c r="O81" s="50">
        <f>K81</f>
        <v>712256</v>
      </c>
      <c r="P81" s="41">
        <f t="shared" si="17"/>
        <v>712256</v>
      </c>
      <c r="Q81" s="78"/>
    </row>
    <row r="82" spans="1:17" s="96" customFormat="1" ht="12.75" customHeight="1" hidden="1">
      <c r="A82" s="37" t="s">
        <v>189</v>
      </c>
      <c r="B82" s="37" t="s">
        <v>190</v>
      </c>
      <c r="C82" s="48" t="s">
        <v>65</v>
      </c>
      <c r="D82" s="38" t="s">
        <v>191</v>
      </c>
      <c r="E82" s="50">
        <f t="shared" si="19"/>
        <v>0</v>
      </c>
      <c r="F82" s="93"/>
      <c r="G82" s="94"/>
      <c r="H82" s="94"/>
      <c r="I82" s="94"/>
      <c r="J82" s="50">
        <f>L82+O82</f>
        <v>12653</v>
      </c>
      <c r="K82" s="50">
        <f>O82</f>
        <v>12653</v>
      </c>
      <c r="L82" s="94"/>
      <c r="M82" s="94"/>
      <c r="N82" s="94"/>
      <c r="O82" s="94">
        <v>12653</v>
      </c>
      <c r="P82" s="50">
        <f t="shared" si="17"/>
        <v>12653</v>
      </c>
      <c r="Q82" s="95"/>
    </row>
    <row r="83" spans="1:17" s="47" customFormat="1" ht="12.75" customHeight="1" hidden="1">
      <c r="A83" s="30" t="s">
        <v>192</v>
      </c>
      <c r="B83" s="30"/>
      <c r="C83" s="31"/>
      <c r="D83" s="40" t="s">
        <v>193</v>
      </c>
      <c r="E83" s="41">
        <f>E84</f>
        <v>1651710</v>
      </c>
      <c r="F83" s="41">
        <f aca="true" t="shared" si="20" ref="F83:P83">F84</f>
        <v>1651710</v>
      </c>
      <c r="G83" s="41">
        <f t="shared" si="20"/>
        <v>284750</v>
      </c>
      <c r="H83" s="41">
        <f t="shared" si="20"/>
        <v>29255</v>
      </c>
      <c r="I83" s="41">
        <f t="shared" si="20"/>
        <v>0</v>
      </c>
      <c r="J83" s="41">
        <f t="shared" si="20"/>
        <v>0</v>
      </c>
      <c r="K83" s="41">
        <f t="shared" si="20"/>
        <v>0</v>
      </c>
      <c r="L83" s="41">
        <f t="shared" si="20"/>
        <v>0</v>
      </c>
      <c r="M83" s="41">
        <f t="shared" si="20"/>
        <v>0</v>
      </c>
      <c r="N83" s="41">
        <f t="shared" si="20"/>
        <v>0</v>
      </c>
      <c r="O83" s="41">
        <f t="shared" si="20"/>
        <v>0</v>
      </c>
      <c r="P83" s="41">
        <f t="shared" si="20"/>
        <v>1651710</v>
      </c>
      <c r="Q83" s="46"/>
    </row>
    <row r="84" spans="1:17" s="47" customFormat="1" ht="12.75" customHeight="1" hidden="1">
      <c r="A84" s="30" t="s">
        <v>194</v>
      </c>
      <c r="B84" s="30"/>
      <c r="C84" s="31"/>
      <c r="D84" s="40" t="s">
        <v>193</v>
      </c>
      <c r="E84" s="41">
        <f>E85+E86+E88</f>
        <v>1651710</v>
      </c>
      <c r="F84" s="41">
        <f aca="true" t="shared" si="21" ref="F84:P84">F85+F86+F88</f>
        <v>1651710</v>
      </c>
      <c r="G84" s="41">
        <f t="shared" si="21"/>
        <v>284750</v>
      </c>
      <c r="H84" s="41">
        <f t="shared" si="21"/>
        <v>29255</v>
      </c>
      <c r="I84" s="41">
        <f t="shared" si="21"/>
        <v>0</v>
      </c>
      <c r="J84" s="41">
        <f t="shared" si="21"/>
        <v>0</v>
      </c>
      <c r="K84" s="41">
        <f t="shared" si="21"/>
        <v>0</v>
      </c>
      <c r="L84" s="41">
        <f t="shared" si="21"/>
        <v>0</v>
      </c>
      <c r="M84" s="41">
        <f t="shared" si="21"/>
        <v>0</v>
      </c>
      <c r="N84" s="41">
        <f t="shared" si="21"/>
        <v>0</v>
      </c>
      <c r="O84" s="41">
        <f t="shared" si="21"/>
        <v>0</v>
      </c>
      <c r="P84" s="41">
        <f t="shared" si="21"/>
        <v>1651710</v>
      </c>
      <c r="Q84" s="46"/>
    </row>
    <row r="85" spans="1:17" s="44" customFormat="1" ht="12.75" customHeight="1" hidden="1">
      <c r="A85" s="37" t="s">
        <v>195</v>
      </c>
      <c r="B85" s="37" t="s">
        <v>196</v>
      </c>
      <c r="C85" s="48" t="s">
        <v>197</v>
      </c>
      <c r="D85" s="63" t="s">
        <v>198</v>
      </c>
      <c r="E85" s="50">
        <f t="shared" si="19"/>
        <v>81255</v>
      </c>
      <c r="F85" s="50">
        <v>81255</v>
      </c>
      <c r="G85" s="50">
        <v>66600</v>
      </c>
      <c r="H85" s="50"/>
      <c r="I85" s="50"/>
      <c r="J85" s="50">
        <f t="shared" si="4"/>
        <v>0</v>
      </c>
      <c r="K85" s="50"/>
      <c r="L85" s="50"/>
      <c r="M85" s="50"/>
      <c r="N85" s="50"/>
      <c r="O85" s="50">
        <v>0</v>
      </c>
      <c r="P85" s="41">
        <f aca="true" t="shared" si="22" ref="P85:P100">J85+E85</f>
        <v>81255</v>
      </c>
      <c r="Q85" s="53"/>
    </row>
    <row r="86" spans="1:17" s="91" customFormat="1" ht="12.75" customHeight="1" hidden="1">
      <c r="A86" s="76">
        <v>1014081</v>
      </c>
      <c r="B86" s="76">
        <v>4081</v>
      </c>
      <c r="C86" s="48" t="s">
        <v>199</v>
      </c>
      <c r="D86" s="63" t="s">
        <v>200</v>
      </c>
      <c r="E86" s="50">
        <f>F86+I86</f>
        <v>349599</v>
      </c>
      <c r="F86" s="50">
        <f>373862-61091+16828+20000</f>
        <v>349599</v>
      </c>
      <c r="G86" s="50">
        <f>254432-50075+13793</f>
        <v>218150</v>
      </c>
      <c r="H86" s="50">
        <f>29255</f>
        <v>29255</v>
      </c>
      <c r="I86" s="50"/>
      <c r="J86" s="50">
        <f t="shared" si="4"/>
        <v>0</v>
      </c>
      <c r="K86" s="50"/>
      <c r="L86" s="50"/>
      <c r="M86" s="50"/>
      <c r="N86" s="50"/>
      <c r="O86" s="50">
        <v>0</v>
      </c>
      <c r="P86" s="41">
        <f t="shared" si="22"/>
        <v>349599</v>
      </c>
      <c r="Q86" s="51"/>
    </row>
    <row r="87" spans="1:17" s="91" customFormat="1" ht="12.75" customHeight="1" hidden="1">
      <c r="A87" s="76"/>
      <c r="B87" s="76"/>
      <c r="C87" s="48"/>
      <c r="D87" s="97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41"/>
      <c r="Q87" s="51"/>
    </row>
    <row r="88" spans="1:17" s="91" customFormat="1" ht="12.75" customHeight="1" hidden="1">
      <c r="A88" s="76">
        <v>1019710</v>
      </c>
      <c r="B88" s="76">
        <v>9710</v>
      </c>
      <c r="C88" s="48" t="s">
        <v>79</v>
      </c>
      <c r="D88" s="63" t="s">
        <v>201</v>
      </c>
      <c r="E88" s="50">
        <f>F88+I88</f>
        <v>1220856</v>
      </c>
      <c r="F88" s="50">
        <f>533158+687698</f>
        <v>1220856</v>
      </c>
      <c r="G88" s="50"/>
      <c r="H88" s="50"/>
      <c r="I88" s="50"/>
      <c r="J88" s="50">
        <f t="shared" si="4"/>
        <v>0</v>
      </c>
      <c r="K88" s="50"/>
      <c r="L88" s="50"/>
      <c r="M88" s="50"/>
      <c r="N88" s="50"/>
      <c r="O88" s="50">
        <v>0</v>
      </c>
      <c r="P88" s="41">
        <f t="shared" si="22"/>
        <v>1220856</v>
      </c>
      <c r="Q88" s="51"/>
    </row>
    <row r="89" spans="1:17" s="44" customFormat="1" ht="12.75" customHeight="1" hidden="1">
      <c r="A89" s="30">
        <v>3700000</v>
      </c>
      <c r="B89" s="24"/>
      <c r="C89" s="31"/>
      <c r="D89" s="40" t="s">
        <v>202</v>
      </c>
      <c r="E89" s="41">
        <f aca="true" t="shared" si="23" ref="E89:P89">E90</f>
        <v>10586148</v>
      </c>
      <c r="F89" s="41">
        <f t="shared" si="23"/>
        <v>7890648</v>
      </c>
      <c r="G89" s="41">
        <f t="shared" si="23"/>
        <v>0</v>
      </c>
      <c r="H89" s="41">
        <f t="shared" si="23"/>
        <v>0</v>
      </c>
      <c r="I89" s="41">
        <f t="shared" si="23"/>
        <v>2615100</v>
      </c>
      <c r="J89" s="41">
        <f t="shared" si="23"/>
        <v>0</v>
      </c>
      <c r="K89" s="41">
        <f t="shared" si="23"/>
        <v>0</v>
      </c>
      <c r="L89" s="41">
        <f t="shared" si="23"/>
        <v>0</v>
      </c>
      <c r="M89" s="41">
        <f t="shared" si="23"/>
        <v>0</v>
      </c>
      <c r="N89" s="41">
        <f t="shared" si="23"/>
        <v>0</v>
      </c>
      <c r="O89" s="41">
        <f t="shared" si="23"/>
        <v>0</v>
      </c>
      <c r="P89" s="41">
        <f t="shared" si="23"/>
        <v>10586148</v>
      </c>
      <c r="Q89" s="42"/>
    </row>
    <row r="90" spans="1:17" s="47" customFormat="1" ht="12.75" customHeight="1" hidden="1">
      <c r="A90" s="30" t="s">
        <v>203</v>
      </c>
      <c r="B90" s="30"/>
      <c r="C90" s="31"/>
      <c r="D90" s="40" t="s">
        <v>202</v>
      </c>
      <c r="E90" s="41">
        <f>E91+E94+E100+E92+E96+E95</f>
        <v>10586148</v>
      </c>
      <c r="F90" s="41">
        <f>F91+F94+F100+F92+F96+F95</f>
        <v>7890648</v>
      </c>
      <c r="G90" s="41">
        <f>G91+G94+G100+G92+G96+G95</f>
        <v>0</v>
      </c>
      <c r="H90" s="41">
        <f>H91+H94+H100+H92+H96+H95</f>
        <v>0</v>
      </c>
      <c r="I90" s="41">
        <f>I91+I94+I100+I92+I96+I95</f>
        <v>2615100</v>
      </c>
      <c r="J90" s="41">
        <f aca="true" t="shared" si="24" ref="J90:O90">J91+J94+J100+J92+J96</f>
        <v>0</v>
      </c>
      <c r="K90" s="41">
        <f t="shared" si="24"/>
        <v>0</v>
      </c>
      <c r="L90" s="41">
        <f t="shared" si="24"/>
        <v>0</v>
      </c>
      <c r="M90" s="41">
        <f t="shared" si="24"/>
        <v>0</v>
      </c>
      <c r="N90" s="41">
        <f t="shared" si="24"/>
        <v>0</v>
      </c>
      <c r="O90" s="41">
        <f t="shared" si="24"/>
        <v>0</v>
      </c>
      <c r="P90" s="41">
        <f>P91+P94+P100+P92+P96+P95</f>
        <v>10586148</v>
      </c>
      <c r="Q90" s="46"/>
    </row>
    <row r="91" spans="1:17" s="90" customFormat="1" ht="12.75" customHeight="1" hidden="1">
      <c r="A91" s="37" t="s">
        <v>204</v>
      </c>
      <c r="B91" s="37" t="s">
        <v>205</v>
      </c>
      <c r="C91" s="48" t="s">
        <v>79</v>
      </c>
      <c r="D91" s="63" t="s">
        <v>206</v>
      </c>
      <c r="E91" s="50">
        <f aca="true" t="shared" si="25" ref="E91:E96">F91+I91</f>
        <v>100</v>
      </c>
      <c r="F91" s="50">
        <f>850000-40000-20000-31000-150000-120000-22500-26900-30000-70000-37000-21000-32000-50000-15000-20000+300000-36000-300000-14000+100000-100000-80000-34500</f>
        <v>100</v>
      </c>
      <c r="G91" s="41"/>
      <c r="H91" s="41"/>
      <c r="I91" s="41"/>
      <c r="J91" s="50">
        <f t="shared" si="4"/>
        <v>0</v>
      </c>
      <c r="K91" s="50"/>
      <c r="L91" s="41"/>
      <c r="M91" s="41"/>
      <c r="N91" s="41"/>
      <c r="O91" s="41"/>
      <c r="P91" s="41">
        <f t="shared" si="22"/>
        <v>100</v>
      </c>
      <c r="Q91" s="89"/>
    </row>
    <row r="92" spans="1:17" s="90" customFormat="1" ht="12.75" customHeight="1" hidden="1">
      <c r="A92" s="37" t="s">
        <v>204</v>
      </c>
      <c r="B92" s="37" t="s">
        <v>205</v>
      </c>
      <c r="C92" s="48" t="s">
        <v>79</v>
      </c>
      <c r="D92" s="63" t="s">
        <v>207</v>
      </c>
      <c r="E92" s="50">
        <f t="shared" si="25"/>
        <v>26900</v>
      </c>
      <c r="F92" s="50">
        <v>26900</v>
      </c>
      <c r="G92" s="41"/>
      <c r="H92" s="41"/>
      <c r="I92" s="41"/>
      <c r="J92" s="50">
        <f t="shared" si="4"/>
        <v>0</v>
      </c>
      <c r="K92" s="50"/>
      <c r="L92" s="41"/>
      <c r="M92" s="41"/>
      <c r="N92" s="41"/>
      <c r="O92" s="41"/>
      <c r="P92" s="41">
        <f t="shared" si="22"/>
        <v>26900</v>
      </c>
      <c r="Q92" s="89"/>
    </row>
    <row r="93" spans="1:17" s="90" customFormat="1" ht="12.75" customHeight="1" hidden="1">
      <c r="A93" s="37"/>
      <c r="B93" s="37"/>
      <c r="C93" s="48"/>
      <c r="D93" s="63" t="s">
        <v>208</v>
      </c>
      <c r="E93" s="50">
        <f t="shared" si="25"/>
        <v>26900</v>
      </c>
      <c r="F93" s="50">
        <v>26900</v>
      </c>
      <c r="G93" s="41"/>
      <c r="H93" s="41"/>
      <c r="I93" s="41"/>
      <c r="J93" s="50">
        <f t="shared" si="4"/>
        <v>0</v>
      </c>
      <c r="K93" s="50"/>
      <c r="L93" s="41"/>
      <c r="M93" s="41"/>
      <c r="N93" s="41"/>
      <c r="O93" s="41"/>
      <c r="P93" s="41">
        <f t="shared" si="22"/>
        <v>26900</v>
      </c>
      <c r="Q93" s="89"/>
    </row>
    <row r="94" spans="1:17" s="29" customFormat="1" ht="12.75" customHeight="1" hidden="1">
      <c r="A94" s="76">
        <v>3719150</v>
      </c>
      <c r="B94" s="76">
        <v>9150</v>
      </c>
      <c r="C94" s="76" t="s">
        <v>79</v>
      </c>
      <c r="D94" s="38" t="s">
        <v>209</v>
      </c>
      <c r="E94" s="39">
        <f t="shared" si="25"/>
        <v>7863648</v>
      </c>
      <c r="F94" s="39">
        <f>9749716-1886068</f>
        <v>7863648</v>
      </c>
      <c r="G94" s="39"/>
      <c r="H94" s="39"/>
      <c r="I94" s="39"/>
      <c r="J94" s="39">
        <f t="shared" si="4"/>
        <v>0</v>
      </c>
      <c r="K94" s="39"/>
      <c r="L94" s="39"/>
      <c r="M94" s="39"/>
      <c r="N94" s="39"/>
      <c r="O94" s="39"/>
      <c r="P94" s="34">
        <f t="shared" si="22"/>
        <v>7863648</v>
      </c>
      <c r="Q94" s="28"/>
    </row>
    <row r="95" spans="1:17" s="29" customFormat="1" ht="12.75" customHeight="1" hidden="1">
      <c r="A95" s="76">
        <v>3719260</v>
      </c>
      <c r="B95" s="76">
        <v>9260</v>
      </c>
      <c r="C95" s="76">
        <v>180</v>
      </c>
      <c r="D95" s="38" t="s">
        <v>210</v>
      </c>
      <c r="E95" s="39">
        <f t="shared" si="25"/>
        <v>2615100</v>
      </c>
      <c r="F95" s="39"/>
      <c r="G95" s="39"/>
      <c r="H95" s="39"/>
      <c r="I95" s="39">
        <f>2279200+335900</f>
        <v>2615100</v>
      </c>
      <c r="J95" s="39">
        <f t="shared" si="4"/>
        <v>0</v>
      </c>
      <c r="K95" s="39"/>
      <c r="L95" s="39"/>
      <c r="M95" s="39"/>
      <c r="N95" s="39"/>
      <c r="O95" s="39"/>
      <c r="P95" s="34">
        <f t="shared" si="22"/>
        <v>2615100</v>
      </c>
      <c r="Q95" s="28"/>
    </row>
    <row r="96" spans="1:17" s="29" customFormat="1" ht="12.75" customHeight="1" hidden="1">
      <c r="A96" s="76">
        <v>3718500</v>
      </c>
      <c r="B96" s="76">
        <v>8500</v>
      </c>
      <c r="C96" s="37" t="s">
        <v>211</v>
      </c>
      <c r="D96" s="38" t="s">
        <v>212</v>
      </c>
      <c r="E96" s="39">
        <f t="shared" si="25"/>
        <v>0</v>
      </c>
      <c r="F96" s="39">
        <f>290600-120500-130000-40100</f>
        <v>0</v>
      </c>
      <c r="G96" s="39"/>
      <c r="H96" s="39"/>
      <c r="I96" s="39">
        <f>2615100-2279200-335900</f>
        <v>0</v>
      </c>
      <c r="J96" s="39">
        <f t="shared" si="4"/>
        <v>0</v>
      </c>
      <c r="K96" s="39"/>
      <c r="L96" s="39"/>
      <c r="M96" s="39"/>
      <c r="N96" s="39"/>
      <c r="O96" s="39"/>
      <c r="P96" s="34">
        <f t="shared" si="22"/>
        <v>0</v>
      </c>
      <c r="Q96" s="28"/>
    </row>
    <row r="97" spans="1:17" s="29" customFormat="1" ht="12.75" customHeight="1" hidden="1">
      <c r="A97" s="76"/>
      <c r="B97" s="76"/>
      <c r="C97" s="76"/>
      <c r="D97" s="38"/>
      <c r="E97" s="39"/>
      <c r="F97" s="39"/>
      <c r="G97" s="39"/>
      <c r="H97" s="39"/>
      <c r="I97" s="39"/>
      <c r="J97" s="39">
        <f t="shared" si="4"/>
        <v>0</v>
      </c>
      <c r="K97" s="39"/>
      <c r="L97" s="39"/>
      <c r="M97" s="39"/>
      <c r="N97" s="39"/>
      <c r="O97" s="39"/>
      <c r="P97" s="34">
        <f t="shared" si="22"/>
        <v>0</v>
      </c>
      <c r="Q97" s="28"/>
    </row>
    <row r="98" spans="1:17" s="29" customFormat="1" ht="12.75" customHeight="1" hidden="1">
      <c r="A98" s="37"/>
      <c r="B98" s="37"/>
      <c r="C98" s="37"/>
      <c r="D98" s="38"/>
      <c r="E98" s="39"/>
      <c r="F98" s="39"/>
      <c r="G98" s="39"/>
      <c r="H98" s="39"/>
      <c r="I98" s="39"/>
      <c r="J98" s="39">
        <f t="shared" si="4"/>
        <v>0</v>
      </c>
      <c r="K98" s="39"/>
      <c r="L98" s="39"/>
      <c r="M98" s="39"/>
      <c r="N98" s="39"/>
      <c r="O98" s="39"/>
      <c r="P98" s="34">
        <f t="shared" si="22"/>
        <v>0</v>
      </c>
      <c r="Q98" s="28"/>
    </row>
    <row r="99" spans="1:17" s="29" customFormat="1" ht="12.75" customHeight="1" hidden="1">
      <c r="A99" s="76"/>
      <c r="B99" s="76"/>
      <c r="C99" s="37"/>
      <c r="D99" s="38"/>
      <c r="E99" s="39"/>
      <c r="F99" s="39"/>
      <c r="G99" s="39"/>
      <c r="H99" s="39"/>
      <c r="I99" s="39"/>
      <c r="J99" s="39">
        <f t="shared" si="4"/>
        <v>0</v>
      </c>
      <c r="K99" s="39"/>
      <c r="L99" s="39"/>
      <c r="M99" s="39"/>
      <c r="N99" s="39"/>
      <c r="O99" s="39"/>
      <c r="P99" s="34">
        <f t="shared" si="22"/>
        <v>0</v>
      </c>
      <c r="Q99" s="28"/>
    </row>
    <row r="100" spans="1:17" s="99" customFormat="1" ht="12.75" customHeight="1" hidden="1">
      <c r="A100" s="76">
        <v>3718700</v>
      </c>
      <c r="B100" s="76">
        <v>8700</v>
      </c>
      <c r="C100" s="37" t="s">
        <v>211</v>
      </c>
      <c r="D100" s="32" t="s">
        <v>213</v>
      </c>
      <c r="E100" s="39">
        <v>80400</v>
      </c>
      <c r="F100" s="34"/>
      <c r="G100" s="33"/>
      <c r="H100" s="33"/>
      <c r="I100" s="33"/>
      <c r="J100" s="39">
        <f t="shared" si="4"/>
        <v>0</v>
      </c>
      <c r="K100" s="39"/>
      <c r="L100" s="33"/>
      <c r="M100" s="33"/>
      <c r="N100" s="33"/>
      <c r="O100" s="33"/>
      <c r="P100" s="34">
        <f t="shared" si="22"/>
        <v>80400</v>
      </c>
      <c r="Q100" s="98"/>
    </row>
    <row r="101" spans="1:18" s="99" customFormat="1" ht="41.25" customHeight="1">
      <c r="A101" s="24"/>
      <c r="B101" s="24"/>
      <c r="C101" s="24"/>
      <c r="D101" s="24" t="s">
        <v>214</v>
      </c>
      <c r="E101" s="34">
        <f>E90+E84+E59+E43+E17+E14</f>
        <v>197541698.82</v>
      </c>
      <c r="F101" s="34">
        <f aca="true" t="shared" si="26" ref="F101:O101">F90+F84+F59+F43+F17+F14</f>
        <v>194846198.82</v>
      </c>
      <c r="G101" s="34">
        <f t="shared" si="26"/>
        <v>39261880</v>
      </c>
      <c r="H101" s="34">
        <f>H90+H84+H59+H43+H17+H14</f>
        <v>5498430</v>
      </c>
      <c r="I101" s="34">
        <f t="shared" si="26"/>
        <v>2615100</v>
      </c>
      <c r="J101" s="34">
        <f t="shared" si="26"/>
        <v>15910093</v>
      </c>
      <c r="K101" s="34">
        <f t="shared" si="26"/>
        <v>9739994</v>
      </c>
      <c r="L101" s="34">
        <f t="shared" si="26"/>
        <v>1283406</v>
      </c>
      <c r="M101" s="34">
        <f t="shared" si="26"/>
        <v>0</v>
      </c>
      <c r="N101" s="34">
        <f t="shared" si="26"/>
        <v>0</v>
      </c>
      <c r="O101" s="34">
        <f t="shared" si="26"/>
        <v>14620687</v>
      </c>
      <c r="P101" s="34">
        <f>P90+P84+P59+P43+P17+P14</f>
        <v>213451791.82</v>
      </c>
      <c r="Q101" s="100"/>
      <c r="R101" s="98"/>
    </row>
    <row r="102" spans="1:18" s="99" customFormat="1" ht="21.75" customHeight="1">
      <c r="A102" s="101"/>
      <c r="B102" s="101"/>
      <c r="C102" s="101"/>
      <c r="D102" s="102"/>
      <c r="E102" s="103"/>
      <c r="F102" s="104"/>
      <c r="G102" s="103"/>
      <c r="H102" s="103"/>
      <c r="I102" s="103"/>
      <c r="J102" s="103"/>
      <c r="K102" s="105"/>
      <c r="L102" s="103"/>
      <c r="M102" s="103"/>
      <c r="N102" s="103"/>
      <c r="O102" s="103"/>
      <c r="P102" s="103"/>
      <c r="Q102" s="98"/>
      <c r="R102" s="106"/>
    </row>
    <row r="103" spans="1:18" s="99" customFormat="1" ht="9" customHeight="1">
      <c r="A103" s="101"/>
      <c r="B103" s="101"/>
      <c r="C103" s="101"/>
      <c r="D103" s="107"/>
      <c r="E103" s="108"/>
      <c r="F103" s="104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98"/>
      <c r="R103" s="106"/>
    </row>
    <row r="104" spans="1:17" s="99" customFormat="1" ht="126" customHeight="1">
      <c r="A104" s="101"/>
      <c r="B104" s="109" t="s">
        <v>215</v>
      </c>
      <c r="C104" s="101"/>
      <c r="D104" s="109"/>
      <c r="E104" s="109"/>
      <c r="F104" s="109"/>
      <c r="G104" s="110"/>
      <c r="H104" s="110"/>
      <c r="I104" s="110"/>
      <c r="J104" s="110"/>
      <c r="K104" s="110"/>
      <c r="L104" s="110"/>
      <c r="M104" s="111"/>
      <c r="N104" s="112"/>
      <c r="O104" s="109" t="s">
        <v>216</v>
      </c>
      <c r="P104" s="6"/>
      <c r="Q104" s="113"/>
    </row>
    <row r="105" spans="1:18" s="99" customFormat="1" ht="28.5" customHeight="1">
      <c r="A105" s="101"/>
      <c r="B105" s="101"/>
      <c r="C105" s="101"/>
      <c r="D105" s="114"/>
      <c r="E105" s="114"/>
      <c r="F105" s="114"/>
      <c r="G105" s="103"/>
      <c r="H105" s="103"/>
      <c r="I105" s="103"/>
      <c r="J105" s="103"/>
      <c r="K105" s="103"/>
      <c r="L105" s="103"/>
      <c r="M105" s="103"/>
      <c r="N105" s="114"/>
      <c r="O105" s="114"/>
      <c r="P105" s="103"/>
      <c r="Q105" s="98"/>
      <c r="R105" s="106"/>
    </row>
    <row r="106" spans="1:17" s="29" customFormat="1" ht="45" customHeight="1">
      <c r="A106" s="115"/>
      <c r="B106" s="115"/>
      <c r="C106" s="115"/>
      <c r="D106" s="116"/>
      <c r="E106" s="116"/>
      <c r="F106" s="116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28"/>
    </row>
    <row r="107" spans="1:17" s="29" customFormat="1" ht="10.5">
      <c r="A107" s="115"/>
      <c r="B107" s="115"/>
      <c r="C107" s="115"/>
      <c r="D107" s="116"/>
      <c r="E107" s="112"/>
      <c r="F107" s="112"/>
      <c r="G107" s="117"/>
      <c r="H107" s="117"/>
      <c r="I107" s="117"/>
      <c r="J107" s="117"/>
      <c r="K107" s="117"/>
      <c r="L107" s="117"/>
      <c r="M107" s="117"/>
      <c r="N107" s="117"/>
      <c r="O107" s="117"/>
      <c r="P107" s="112"/>
      <c r="Q107" s="28"/>
    </row>
    <row r="108" spans="1:17" s="29" customFormat="1" ht="10.5">
      <c r="A108" s="115"/>
      <c r="B108" s="115"/>
      <c r="C108" s="115"/>
      <c r="D108" s="116"/>
      <c r="E108" s="112"/>
      <c r="F108" s="112"/>
      <c r="G108" s="117"/>
      <c r="H108" s="117"/>
      <c r="I108" s="117"/>
      <c r="J108" s="117"/>
      <c r="K108" s="117"/>
      <c r="L108" s="117"/>
      <c r="M108" s="117"/>
      <c r="N108" s="117"/>
      <c r="O108" s="117"/>
      <c r="P108" s="112"/>
      <c r="Q108" s="28"/>
    </row>
    <row r="109" spans="1:17" s="99" customFormat="1" ht="10.5">
      <c r="A109" s="101"/>
      <c r="B109" s="101"/>
      <c r="C109" s="101"/>
      <c r="D109" s="11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98"/>
    </row>
    <row r="110" spans="1:17" s="29" customFormat="1" ht="10.5">
      <c r="A110" s="115"/>
      <c r="B110" s="115"/>
      <c r="C110" s="115"/>
      <c r="D110" s="116"/>
      <c r="E110" s="112"/>
      <c r="F110" s="112"/>
      <c r="G110" s="117"/>
      <c r="H110" s="117"/>
      <c r="I110" s="117"/>
      <c r="J110" s="117"/>
      <c r="K110" s="117"/>
      <c r="L110" s="117"/>
      <c r="M110" s="117"/>
      <c r="N110" s="117"/>
      <c r="O110" s="117"/>
      <c r="P110" s="112"/>
      <c r="Q110" s="28"/>
    </row>
    <row r="111" spans="1:17" s="29" customFormat="1" ht="10.5">
      <c r="A111" s="119"/>
      <c r="B111" s="119"/>
      <c r="C111" s="119"/>
      <c r="D111" s="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28"/>
    </row>
    <row r="112" spans="4:17" s="120" customFormat="1" ht="10.5">
      <c r="D112" s="121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3"/>
    </row>
    <row r="113" spans="1:17" s="99" customFormat="1" ht="10.5">
      <c r="A113" s="101"/>
      <c r="B113" s="101"/>
      <c r="C113" s="101"/>
      <c r="D113" s="11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98"/>
    </row>
    <row r="114" spans="1:17" s="29" customFormat="1" ht="10.5">
      <c r="A114" s="115"/>
      <c r="B114" s="115"/>
      <c r="C114" s="115"/>
      <c r="D114" s="11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28"/>
    </row>
    <row r="115" spans="1:17" s="29" customFormat="1" ht="10.5">
      <c r="A115" s="115"/>
      <c r="B115" s="115"/>
      <c r="C115" s="115"/>
      <c r="D115" s="116"/>
      <c r="E115" s="112"/>
      <c r="F115" s="112"/>
      <c r="G115" s="117"/>
      <c r="H115" s="117"/>
      <c r="I115" s="117"/>
      <c r="J115" s="117"/>
      <c r="K115" s="117"/>
      <c r="L115" s="117"/>
      <c r="M115" s="117"/>
      <c r="N115" s="117"/>
      <c r="O115" s="117"/>
      <c r="P115" s="112"/>
      <c r="Q115" s="28"/>
    </row>
    <row r="116" spans="1:17" s="29" customFormat="1" ht="10.5">
      <c r="A116" s="115"/>
      <c r="B116" s="115"/>
      <c r="C116" s="115"/>
      <c r="D116" s="116"/>
      <c r="E116" s="112"/>
      <c r="F116" s="112"/>
      <c r="G116" s="117"/>
      <c r="H116" s="117"/>
      <c r="I116" s="117"/>
      <c r="J116" s="117"/>
      <c r="K116" s="117"/>
      <c r="L116" s="117"/>
      <c r="M116" s="117"/>
      <c r="N116" s="117"/>
      <c r="O116" s="117"/>
      <c r="P116" s="112"/>
      <c r="Q116" s="28"/>
    </row>
    <row r="117" spans="1:17" s="29" customFormat="1" ht="10.5">
      <c r="A117" s="119"/>
      <c r="B117" s="119"/>
      <c r="C117" s="119"/>
      <c r="D117" s="116"/>
      <c r="E117" s="112"/>
      <c r="F117" s="112"/>
      <c r="G117" s="117"/>
      <c r="H117" s="117"/>
      <c r="I117" s="117"/>
      <c r="J117" s="117"/>
      <c r="K117" s="117"/>
      <c r="L117" s="117"/>
      <c r="M117" s="117"/>
      <c r="N117" s="117"/>
      <c r="O117" s="117"/>
      <c r="P117" s="112"/>
      <c r="Q117" s="28"/>
    </row>
    <row r="118" spans="1:17" s="29" customFormat="1" ht="10.5">
      <c r="A118" s="119"/>
      <c r="B118" s="119"/>
      <c r="C118" s="119"/>
      <c r="D118" s="116"/>
      <c r="E118" s="112"/>
      <c r="F118" s="112"/>
      <c r="G118" s="117"/>
      <c r="H118" s="117"/>
      <c r="I118" s="117"/>
      <c r="J118" s="117"/>
      <c r="K118" s="117"/>
      <c r="L118" s="117"/>
      <c r="M118" s="117"/>
      <c r="N118" s="117"/>
      <c r="O118" s="117"/>
      <c r="P118" s="112"/>
      <c r="Q118" s="28"/>
    </row>
    <row r="119" spans="1:17" s="29" customFormat="1" ht="10.5">
      <c r="A119" s="119"/>
      <c r="B119" s="119"/>
      <c r="C119" s="119"/>
      <c r="D119" s="11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28"/>
    </row>
    <row r="120" spans="1:17" s="29" customFormat="1" ht="10.5">
      <c r="A120" s="115"/>
      <c r="B120" s="115"/>
      <c r="C120" s="115"/>
      <c r="D120" s="116"/>
      <c r="E120" s="112"/>
      <c r="F120" s="112"/>
      <c r="G120" s="117"/>
      <c r="H120" s="117"/>
      <c r="I120" s="117"/>
      <c r="J120" s="117"/>
      <c r="K120" s="117"/>
      <c r="L120" s="117"/>
      <c r="M120" s="117"/>
      <c r="N120" s="117"/>
      <c r="O120" s="117"/>
      <c r="P120" s="112"/>
      <c r="Q120" s="28"/>
    </row>
    <row r="121" spans="1:17" s="29" customFormat="1" ht="10.5">
      <c r="A121" s="115"/>
      <c r="B121" s="115"/>
      <c r="C121" s="115"/>
      <c r="D121" s="116"/>
      <c r="E121" s="112"/>
      <c r="F121" s="112"/>
      <c r="G121" s="117"/>
      <c r="H121" s="117"/>
      <c r="I121" s="117"/>
      <c r="J121" s="117"/>
      <c r="K121" s="117"/>
      <c r="L121" s="117"/>
      <c r="M121" s="117"/>
      <c r="N121" s="117"/>
      <c r="O121" s="117"/>
      <c r="P121" s="112"/>
      <c r="Q121" s="28"/>
    </row>
    <row r="122" spans="1:17" s="99" customFormat="1" ht="10.5">
      <c r="A122" s="36"/>
      <c r="B122" s="36"/>
      <c r="C122" s="36"/>
      <c r="D122" s="124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98"/>
    </row>
    <row r="123" spans="1:17" s="29" customFormat="1" ht="10.5">
      <c r="A123" s="119"/>
      <c r="B123" s="119"/>
      <c r="C123" s="119"/>
      <c r="D123" s="116"/>
      <c r="E123" s="112"/>
      <c r="F123" s="112"/>
      <c r="G123" s="117"/>
      <c r="H123" s="117"/>
      <c r="I123" s="117"/>
      <c r="J123" s="117"/>
      <c r="K123" s="117"/>
      <c r="L123" s="117"/>
      <c r="M123" s="117"/>
      <c r="N123" s="117"/>
      <c r="O123" s="117"/>
      <c r="P123" s="112"/>
      <c r="Q123" s="28"/>
    </row>
    <row r="124" spans="1:17" s="29" customFormat="1" ht="10.5">
      <c r="A124" s="119"/>
      <c r="B124" s="119"/>
      <c r="C124" s="119"/>
      <c r="D124" s="115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28"/>
    </row>
    <row r="125" spans="1:17" s="120" customFormat="1" ht="10.5">
      <c r="A125" s="121"/>
      <c r="B125" s="121"/>
      <c r="C125" s="121"/>
      <c r="D125" s="121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3"/>
    </row>
    <row r="126" spans="1:17" s="99" customFormat="1" ht="10.5">
      <c r="A126" s="101"/>
      <c r="B126" s="101"/>
      <c r="C126" s="101"/>
      <c r="D126" s="11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98"/>
    </row>
    <row r="127" spans="1:17" s="29" customFormat="1" ht="10.5">
      <c r="A127" s="119"/>
      <c r="B127" s="119"/>
      <c r="C127" s="119"/>
      <c r="D127" s="19"/>
      <c r="E127" s="112"/>
      <c r="F127" s="112"/>
      <c r="G127" s="119"/>
      <c r="H127" s="119"/>
      <c r="I127" s="119"/>
      <c r="J127" s="119"/>
      <c r="K127" s="119"/>
      <c r="L127" s="119"/>
      <c r="M127" s="119"/>
      <c r="N127" s="119"/>
      <c r="O127" s="119"/>
      <c r="P127" s="112"/>
      <c r="Q127" s="28"/>
    </row>
    <row r="128" spans="1:17" s="29" customFormat="1" ht="10.5">
      <c r="A128" s="115"/>
      <c r="B128" s="115"/>
      <c r="C128" s="115"/>
      <c r="D128" s="116"/>
      <c r="E128" s="112"/>
      <c r="F128" s="112"/>
      <c r="G128" s="119"/>
      <c r="H128" s="119"/>
      <c r="I128" s="119"/>
      <c r="J128" s="125"/>
      <c r="K128" s="125"/>
      <c r="L128" s="125"/>
      <c r="M128" s="125"/>
      <c r="N128" s="125"/>
      <c r="O128" s="125"/>
      <c r="P128" s="112"/>
      <c r="Q128" s="28"/>
    </row>
    <row r="129" spans="1:17" s="29" customFormat="1" ht="10.5">
      <c r="A129" s="115"/>
      <c r="B129" s="115"/>
      <c r="C129" s="115"/>
      <c r="D129" s="115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28"/>
    </row>
    <row r="130" spans="4:17" s="120" customFormat="1" ht="10.5">
      <c r="D130" s="121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3"/>
    </row>
    <row r="131" spans="1:17" s="99" customFormat="1" ht="10.5">
      <c r="A131" s="36"/>
      <c r="B131" s="36"/>
      <c r="C131" s="36"/>
      <c r="D131" s="11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98"/>
    </row>
    <row r="132" spans="1:17" s="29" customFormat="1" ht="10.5">
      <c r="A132" s="119"/>
      <c r="B132" s="119"/>
      <c r="C132" s="119"/>
      <c r="D132" s="19"/>
      <c r="E132" s="112"/>
      <c r="F132" s="112"/>
      <c r="G132" s="117"/>
      <c r="H132" s="117"/>
      <c r="I132" s="117"/>
      <c r="J132" s="117"/>
      <c r="K132" s="117"/>
      <c r="L132" s="117"/>
      <c r="M132" s="117"/>
      <c r="N132" s="117"/>
      <c r="O132" s="117"/>
      <c r="P132" s="112"/>
      <c r="Q132" s="28"/>
    </row>
    <row r="133" spans="1:17" s="29" customFormat="1" ht="10.5">
      <c r="A133" s="119"/>
      <c r="B133" s="119"/>
      <c r="C133" s="119"/>
      <c r="D133" s="19"/>
      <c r="E133" s="112"/>
      <c r="F133" s="112"/>
      <c r="G133" s="117"/>
      <c r="H133" s="117"/>
      <c r="I133" s="117"/>
      <c r="J133" s="117"/>
      <c r="K133" s="117"/>
      <c r="L133" s="117"/>
      <c r="M133" s="117"/>
      <c r="N133" s="117"/>
      <c r="O133" s="117"/>
      <c r="P133" s="112"/>
      <c r="Q133" s="28"/>
    </row>
    <row r="134" spans="1:17" s="29" customFormat="1" ht="10.5">
      <c r="A134" s="119"/>
      <c r="B134" s="119"/>
      <c r="C134" s="119"/>
      <c r="D134" s="19"/>
      <c r="E134" s="112"/>
      <c r="F134" s="112"/>
      <c r="G134" s="117"/>
      <c r="H134" s="117"/>
      <c r="I134" s="117"/>
      <c r="J134" s="117"/>
      <c r="K134" s="117"/>
      <c r="L134" s="117"/>
      <c r="M134" s="117"/>
      <c r="N134" s="117"/>
      <c r="O134" s="117"/>
      <c r="P134" s="112"/>
      <c r="Q134" s="28"/>
    </row>
    <row r="135" spans="1:17" s="29" customFormat="1" ht="10.5">
      <c r="A135" s="119"/>
      <c r="B135" s="119"/>
      <c r="C135" s="119"/>
      <c r="D135" s="19"/>
      <c r="E135" s="112"/>
      <c r="F135" s="112"/>
      <c r="G135" s="117"/>
      <c r="H135" s="117"/>
      <c r="I135" s="117"/>
      <c r="J135" s="117"/>
      <c r="K135" s="117"/>
      <c r="L135" s="117"/>
      <c r="M135" s="117"/>
      <c r="N135" s="117"/>
      <c r="O135" s="117"/>
      <c r="P135" s="112"/>
      <c r="Q135" s="28"/>
    </row>
    <row r="136" spans="1:17" s="99" customFormat="1" ht="10.5">
      <c r="A136" s="36"/>
      <c r="B136" s="36"/>
      <c r="C136" s="36"/>
      <c r="D136" s="11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98"/>
    </row>
    <row r="137" spans="1:17" s="29" customFormat="1" ht="10.5">
      <c r="A137" s="119"/>
      <c r="B137" s="119"/>
      <c r="C137" s="119"/>
      <c r="D137" s="19"/>
      <c r="E137" s="112"/>
      <c r="F137" s="112"/>
      <c r="G137" s="117"/>
      <c r="H137" s="117"/>
      <c r="I137" s="117"/>
      <c r="J137" s="117"/>
      <c r="K137" s="117"/>
      <c r="L137" s="117"/>
      <c r="M137" s="117"/>
      <c r="N137" s="117"/>
      <c r="O137" s="117"/>
      <c r="P137" s="112"/>
      <c r="Q137" s="28"/>
    </row>
    <row r="138" spans="1:17" s="99" customFormat="1" ht="10.5">
      <c r="A138" s="36"/>
      <c r="B138" s="36"/>
      <c r="C138" s="36"/>
      <c r="D138" s="11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98"/>
    </row>
    <row r="139" spans="1:17" s="29" customFormat="1" ht="10.5">
      <c r="A139" s="119"/>
      <c r="B139" s="119"/>
      <c r="C139" s="119"/>
      <c r="D139" s="19"/>
      <c r="E139" s="112"/>
      <c r="F139" s="112"/>
      <c r="G139" s="117"/>
      <c r="H139" s="117"/>
      <c r="I139" s="117"/>
      <c r="J139" s="117"/>
      <c r="K139" s="117"/>
      <c r="L139" s="117"/>
      <c r="M139" s="117"/>
      <c r="N139" s="117"/>
      <c r="O139" s="117"/>
      <c r="P139" s="112"/>
      <c r="Q139" s="28"/>
    </row>
    <row r="140" spans="1:17" s="99" customFormat="1" ht="10.5">
      <c r="A140" s="36"/>
      <c r="B140" s="36"/>
      <c r="C140" s="36"/>
      <c r="D140" s="11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98"/>
    </row>
    <row r="141" spans="1:17" s="29" customFormat="1" ht="10.5">
      <c r="A141" s="119"/>
      <c r="B141" s="119"/>
      <c r="C141" s="119"/>
      <c r="D141" s="19"/>
      <c r="E141" s="112"/>
      <c r="F141" s="112"/>
      <c r="G141" s="117"/>
      <c r="H141" s="117"/>
      <c r="I141" s="117"/>
      <c r="J141" s="117"/>
      <c r="K141" s="117"/>
      <c r="L141" s="117"/>
      <c r="M141" s="117"/>
      <c r="N141" s="117"/>
      <c r="O141" s="117"/>
      <c r="P141" s="112"/>
      <c r="Q141" s="28"/>
    </row>
    <row r="142" spans="1:17" s="29" customFormat="1" ht="10.5">
      <c r="A142" s="119"/>
      <c r="B142" s="119"/>
      <c r="C142" s="119"/>
      <c r="D142" s="19"/>
      <c r="E142" s="112"/>
      <c r="F142" s="112"/>
      <c r="G142" s="117"/>
      <c r="H142" s="117"/>
      <c r="I142" s="117"/>
      <c r="J142" s="117"/>
      <c r="K142" s="117"/>
      <c r="L142" s="117"/>
      <c r="M142" s="117"/>
      <c r="N142" s="117"/>
      <c r="O142" s="117"/>
      <c r="P142" s="112"/>
      <c r="Q142" s="28"/>
    </row>
    <row r="143" spans="1:17" s="29" customFormat="1" ht="10.5">
      <c r="A143" s="119"/>
      <c r="B143" s="119"/>
      <c r="C143" s="119"/>
      <c r="D143" s="19"/>
      <c r="E143" s="112"/>
      <c r="F143" s="112"/>
      <c r="G143" s="117"/>
      <c r="H143" s="117"/>
      <c r="I143" s="117"/>
      <c r="J143" s="117"/>
      <c r="K143" s="117"/>
      <c r="L143" s="117"/>
      <c r="M143" s="117"/>
      <c r="N143" s="117"/>
      <c r="O143" s="117"/>
      <c r="P143" s="112"/>
      <c r="Q143" s="28"/>
    </row>
    <row r="144" spans="1:17" s="29" customFormat="1" ht="10.5">
      <c r="A144" s="119"/>
      <c r="B144" s="119"/>
      <c r="C144" s="119"/>
      <c r="D144" s="11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28"/>
    </row>
    <row r="145" spans="1:17" s="29" customFormat="1" ht="10.5">
      <c r="A145" s="115"/>
      <c r="B145" s="115"/>
      <c r="C145" s="115"/>
      <c r="D145" s="116"/>
      <c r="E145" s="112"/>
      <c r="F145" s="112"/>
      <c r="G145" s="117"/>
      <c r="H145" s="117"/>
      <c r="I145" s="117"/>
      <c r="J145" s="117"/>
      <c r="K145" s="117"/>
      <c r="L145" s="117"/>
      <c r="M145" s="117"/>
      <c r="N145" s="117"/>
      <c r="O145" s="117"/>
      <c r="P145" s="112"/>
      <c r="Q145" s="28"/>
    </row>
    <row r="146" spans="1:17" s="29" customFormat="1" ht="10.5">
      <c r="A146" s="119"/>
      <c r="B146" s="119"/>
      <c r="C146" s="119"/>
      <c r="D146" s="19"/>
      <c r="E146" s="112"/>
      <c r="F146" s="112"/>
      <c r="G146" s="117"/>
      <c r="H146" s="126"/>
      <c r="I146" s="126"/>
      <c r="J146" s="117"/>
      <c r="K146" s="117"/>
      <c r="L146" s="117"/>
      <c r="M146" s="117"/>
      <c r="N146" s="117"/>
      <c r="O146" s="117"/>
      <c r="P146" s="112"/>
      <c r="Q146" s="28"/>
    </row>
    <row r="147" spans="1:17" s="29" customFormat="1" ht="10.5">
      <c r="A147" s="119"/>
      <c r="B147" s="119"/>
      <c r="C147" s="119"/>
      <c r="D147" s="19"/>
      <c r="E147" s="112"/>
      <c r="F147" s="112"/>
      <c r="G147" s="117"/>
      <c r="H147" s="126"/>
      <c r="I147" s="126"/>
      <c r="J147" s="117"/>
      <c r="K147" s="117"/>
      <c r="L147" s="117"/>
      <c r="M147" s="117"/>
      <c r="N147" s="117"/>
      <c r="O147" s="117"/>
      <c r="P147" s="112"/>
      <c r="Q147" s="28"/>
    </row>
    <row r="148" spans="4:17" s="120" customFormat="1" ht="10.5">
      <c r="D148" s="121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3"/>
    </row>
    <row r="149" spans="1:17" s="99" customFormat="1" ht="10.5">
      <c r="A149" s="36"/>
      <c r="B149" s="36"/>
      <c r="C149" s="36"/>
      <c r="D149" s="124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98"/>
    </row>
    <row r="150" spans="1:17" s="29" customFormat="1" ht="10.5">
      <c r="A150" s="119"/>
      <c r="B150" s="119"/>
      <c r="C150" s="119"/>
      <c r="D150" s="116"/>
      <c r="E150" s="112"/>
      <c r="F150" s="112"/>
      <c r="G150" s="117"/>
      <c r="H150" s="117"/>
      <c r="I150" s="117"/>
      <c r="J150" s="117"/>
      <c r="K150" s="117"/>
      <c r="L150" s="117"/>
      <c r="M150" s="117"/>
      <c r="N150" s="117"/>
      <c r="O150" s="117"/>
      <c r="P150" s="112"/>
      <c r="Q150" s="28"/>
    </row>
    <row r="151" spans="4:17" s="120" customFormat="1" ht="10.5">
      <c r="D151" s="121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3"/>
    </row>
    <row r="152" spans="1:17" s="99" customFormat="1" ht="10.5">
      <c r="A152" s="36"/>
      <c r="B152" s="36"/>
      <c r="C152" s="36"/>
      <c r="D152" s="101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98"/>
    </row>
    <row r="153" spans="1:17" s="29" customFormat="1" ht="10.5">
      <c r="A153" s="119"/>
      <c r="B153" s="119"/>
      <c r="C153" s="119"/>
      <c r="D153" s="19"/>
      <c r="E153" s="112"/>
      <c r="F153" s="112"/>
      <c r="G153" s="119"/>
      <c r="H153" s="119"/>
      <c r="I153" s="119"/>
      <c r="J153" s="125"/>
      <c r="K153" s="125"/>
      <c r="L153" s="125"/>
      <c r="M153" s="125"/>
      <c r="N153" s="125"/>
      <c r="O153" s="125"/>
      <c r="P153" s="112"/>
      <c r="Q153" s="28"/>
    </row>
    <row r="154" spans="1:17" s="29" customFormat="1" ht="10.5">
      <c r="A154" s="119"/>
      <c r="B154" s="119"/>
      <c r="C154" s="119"/>
      <c r="D154" s="115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28"/>
    </row>
    <row r="155" spans="4:17" s="120" customFormat="1" ht="10.5">
      <c r="D155" s="121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3"/>
    </row>
    <row r="156" spans="1:17" s="99" customFormat="1" ht="10.5">
      <c r="A156" s="36"/>
      <c r="B156" s="36"/>
      <c r="C156" s="36"/>
      <c r="D156" s="124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98"/>
    </row>
    <row r="157" spans="1:17" s="29" customFormat="1" ht="10.5">
      <c r="A157" s="119"/>
      <c r="B157" s="119"/>
      <c r="C157" s="119"/>
      <c r="D157" s="116"/>
      <c r="E157" s="112"/>
      <c r="F157" s="112"/>
      <c r="G157" s="117"/>
      <c r="H157" s="117"/>
      <c r="I157" s="117"/>
      <c r="J157" s="117"/>
      <c r="K157" s="117"/>
      <c r="L157" s="117"/>
      <c r="M157" s="117"/>
      <c r="N157" s="117"/>
      <c r="O157" s="117"/>
      <c r="P157" s="112"/>
      <c r="Q157" s="28"/>
    </row>
    <row r="158" spans="1:17" s="99" customFormat="1" ht="10.5">
      <c r="A158" s="36"/>
      <c r="B158" s="36"/>
      <c r="C158" s="36"/>
      <c r="D158" s="11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98"/>
    </row>
    <row r="159" spans="1:17" s="29" customFormat="1" ht="10.5">
      <c r="A159" s="115"/>
      <c r="B159" s="115"/>
      <c r="C159" s="115"/>
      <c r="D159" s="116"/>
      <c r="E159" s="112"/>
      <c r="F159" s="112"/>
      <c r="G159" s="117"/>
      <c r="H159" s="117"/>
      <c r="I159" s="117"/>
      <c r="J159" s="117"/>
      <c r="K159" s="117"/>
      <c r="L159" s="117"/>
      <c r="M159" s="117"/>
      <c r="N159" s="117"/>
      <c r="O159" s="117"/>
      <c r="P159" s="112"/>
      <c r="Q159" s="28"/>
    </row>
    <row r="160" spans="1:17" s="29" customFormat="1" ht="10.5">
      <c r="A160" s="119"/>
      <c r="B160" s="119"/>
      <c r="C160" s="119"/>
      <c r="D160" s="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28"/>
    </row>
    <row r="161" spans="4:17" s="120" customFormat="1" ht="10.5">
      <c r="D161" s="121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3"/>
    </row>
    <row r="162" spans="1:17" s="99" customFormat="1" ht="10.5">
      <c r="A162" s="101"/>
      <c r="B162" s="101"/>
      <c r="C162" s="101"/>
      <c r="D162" s="11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98"/>
    </row>
    <row r="163" spans="1:17" s="29" customFormat="1" ht="10.5">
      <c r="A163" s="115"/>
      <c r="B163" s="115"/>
      <c r="C163" s="115"/>
      <c r="D163" s="116"/>
      <c r="E163" s="112"/>
      <c r="F163" s="112"/>
      <c r="G163" s="117"/>
      <c r="H163" s="117"/>
      <c r="I163" s="117"/>
      <c r="J163" s="117"/>
      <c r="K163" s="117"/>
      <c r="L163" s="117"/>
      <c r="M163" s="117"/>
      <c r="N163" s="117"/>
      <c r="O163" s="117"/>
      <c r="P163" s="112"/>
      <c r="Q163" s="28"/>
    </row>
    <row r="164" spans="1:17" s="29" customFormat="1" ht="10.5">
      <c r="A164" s="119"/>
      <c r="B164" s="119"/>
      <c r="C164" s="119"/>
      <c r="D164" s="115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28"/>
    </row>
    <row r="165" spans="4:17" s="120" customFormat="1" ht="10.5">
      <c r="D165" s="121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3"/>
    </row>
    <row r="166" spans="1:17" s="99" customFormat="1" ht="10.5">
      <c r="A166" s="101"/>
      <c r="B166" s="101"/>
      <c r="C166" s="101"/>
      <c r="D166" s="118"/>
      <c r="E166" s="110"/>
      <c r="F166" s="110"/>
      <c r="G166" s="36"/>
      <c r="H166" s="36"/>
      <c r="I166" s="36"/>
      <c r="J166" s="36"/>
      <c r="K166" s="36"/>
      <c r="L166" s="36"/>
      <c r="M166" s="36"/>
      <c r="N166" s="36"/>
      <c r="O166" s="36"/>
      <c r="P166" s="110"/>
      <c r="Q166" s="98"/>
    </row>
    <row r="167" spans="1:17" s="99" customFormat="1" ht="10.5">
      <c r="A167" s="36"/>
      <c r="B167" s="36"/>
      <c r="C167" s="36"/>
      <c r="D167" s="101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98"/>
    </row>
    <row r="168" spans="4:17" s="120" customFormat="1" ht="10.5">
      <c r="D168" s="121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3"/>
    </row>
    <row r="169" spans="1:17" s="99" customFormat="1" ht="10.5">
      <c r="A169" s="36"/>
      <c r="B169" s="36"/>
      <c r="C169" s="36"/>
      <c r="D169" s="11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98"/>
    </row>
    <row r="170" spans="1:17" s="29" customFormat="1" ht="10.5">
      <c r="A170" s="115"/>
      <c r="B170" s="115"/>
      <c r="C170" s="115"/>
      <c r="D170" s="116"/>
      <c r="E170" s="112"/>
      <c r="F170" s="112"/>
      <c r="G170" s="117"/>
      <c r="H170" s="117"/>
      <c r="I170" s="117"/>
      <c r="J170" s="117"/>
      <c r="K170" s="117"/>
      <c r="L170" s="117"/>
      <c r="M170" s="117"/>
      <c r="N170" s="117"/>
      <c r="O170" s="117"/>
      <c r="P170" s="112"/>
      <c r="Q170" s="28"/>
    </row>
    <row r="171" spans="1:17" s="99" customFormat="1" ht="10.5">
      <c r="A171" s="101"/>
      <c r="B171" s="101"/>
      <c r="C171" s="101"/>
      <c r="D171" s="11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98"/>
    </row>
    <row r="172" spans="1:17" s="29" customFormat="1" ht="10.5">
      <c r="A172" s="115"/>
      <c r="B172" s="115"/>
      <c r="C172" s="115"/>
      <c r="D172" s="116"/>
      <c r="E172" s="112"/>
      <c r="F172" s="112"/>
      <c r="G172" s="117"/>
      <c r="H172" s="117"/>
      <c r="I172" s="117"/>
      <c r="J172" s="117"/>
      <c r="K172" s="117"/>
      <c r="L172" s="117"/>
      <c r="M172" s="117"/>
      <c r="N172" s="117"/>
      <c r="O172" s="117"/>
      <c r="P172" s="112"/>
      <c r="Q172" s="28"/>
    </row>
    <row r="173" spans="1:17" s="29" customFormat="1" ht="10.5">
      <c r="A173" s="115"/>
      <c r="B173" s="115"/>
      <c r="C173" s="115"/>
      <c r="D173" s="116"/>
      <c r="E173" s="112"/>
      <c r="F173" s="112"/>
      <c r="G173" s="117"/>
      <c r="H173" s="117"/>
      <c r="I173" s="117"/>
      <c r="J173" s="117"/>
      <c r="K173" s="117"/>
      <c r="L173" s="117"/>
      <c r="M173" s="117"/>
      <c r="N173" s="117"/>
      <c r="O173" s="117"/>
      <c r="P173" s="112"/>
      <c r="Q173" s="28"/>
    </row>
    <row r="174" spans="1:17" s="29" customFormat="1" ht="10.5">
      <c r="A174" s="115"/>
      <c r="B174" s="115"/>
      <c r="C174" s="115"/>
      <c r="D174" s="116"/>
      <c r="E174" s="112"/>
      <c r="F174" s="112"/>
      <c r="G174" s="117"/>
      <c r="H174" s="117"/>
      <c r="I174" s="117"/>
      <c r="J174" s="117"/>
      <c r="K174" s="117"/>
      <c r="L174" s="117"/>
      <c r="M174" s="117"/>
      <c r="N174" s="117"/>
      <c r="O174" s="117"/>
      <c r="P174" s="112"/>
      <c r="Q174" s="28"/>
    </row>
    <row r="175" spans="1:17" s="29" customFormat="1" ht="10.5">
      <c r="A175" s="119"/>
      <c r="B175" s="119"/>
      <c r="C175" s="119"/>
      <c r="D175" s="19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28"/>
    </row>
    <row r="176" spans="4:17" s="120" customFormat="1" ht="10.5">
      <c r="D176" s="121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3"/>
    </row>
    <row r="177" spans="1:17" s="128" customFormat="1" ht="10.5">
      <c r="A177" s="36"/>
      <c r="B177" s="36"/>
      <c r="C177" s="36"/>
      <c r="D177" s="118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7"/>
    </row>
    <row r="178" spans="1:17" s="99" customFormat="1" ht="10.5">
      <c r="A178" s="101"/>
      <c r="B178" s="101"/>
      <c r="C178" s="101"/>
      <c r="D178" s="118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98"/>
    </row>
    <row r="179" spans="1:17" s="29" customFormat="1" ht="10.5">
      <c r="A179" s="115"/>
      <c r="B179" s="115"/>
      <c r="C179" s="115"/>
      <c r="D179" s="11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28"/>
    </row>
    <row r="180" spans="1:17" s="29" customFormat="1" ht="10.5">
      <c r="A180" s="115"/>
      <c r="B180" s="115"/>
      <c r="C180" s="115"/>
      <c r="D180" s="116"/>
      <c r="E180" s="112"/>
      <c r="F180" s="112"/>
      <c r="G180" s="117"/>
      <c r="H180" s="117"/>
      <c r="I180" s="117"/>
      <c r="J180" s="117"/>
      <c r="K180" s="117"/>
      <c r="L180" s="117"/>
      <c r="M180" s="117"/>
      <c r="N180" s="117"/>
      <c r="O180" s="117"/>
      <c r="P180" s="112"/>
      <c r="Q180" s="28"/>
    </row>
    <row r="181" spans="1:17" s="29" customFormat="1" ht="10.5">
      <c r="A181" s="115"/>
      <c r="B181" s="115"/>
      <c r="C181" s="115"/>
      <c r="D181" s="116"/>
      <c r="E181" s="112"/>
      <c r="F181" s="112"/>
      <c r="G181" s="117"/>
      <c r="H181" s="117"/>
      <c r="I181" s="117"/>
      <c r="J181" s="117"/>
      <c r="K181" s="117"/>
      <c r="L181" s="117"/>
      <c r="M181" s="117"/>
      <c r="N181" s="117"/>
      <c r="O181" s="117"/>
      <c r="P181" s="112"/>
      <c r="Q181" s="28"/>
    </row>
    <row r="182" spans="1:17" s="128" customFormat="1" ht="10.5">
      <c r="A182" s="121"/>
      <c r="B182" s="121"/>
      <c r="C182" s="121"/>
      <c r="D182" s="121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7"/>
    </row>
    <row r="183" spans="1:17" s="29" customFormat="1" ht="10.5">
      <c r="A183" s="115"/>
      <c r="B183" s="115"/>
      <c r="C183" s="115"/>
      <c r="D183" s="116"/>
      <c r="E183" s="112"/>
      <c r="F183" s="112"/>
      <c r="G183" s="117"/>
      <c r="H183" s="117"/>
      <c r="I183" s="117"/>
      <c r="J183" s="117"/>
      <c r="K183" s="117"/>
      <c r="L183" s="117"/>
      <c r="M183" s="117"/>
      <c r="N183" s="117"/>
      <c r="O183" s="117"/>
      <c r="P183" s="112"/>
      <c r="Q183" s="28"/>
    </row>
    <row r="184" spans="1:17" s="29" customFormat="1" ht="10.5">
      <c r="A184" s="115"/>
      <c r="B184" s="115"/>
      <c r="C184" s="115"/>
      <c r="D184" s="116"/>
      <c r="E184" s="112"/>
      <c r="F184" s="112"/>
      <c r="G184" s="117"/>
      <c r="H184" s="117"/>
      <c r="I184" s="117"/>
      <c r="J184" s="117"/>
      <c r="K184" s="117"/>
      <c r="L184" s="117"/>
      <c r="M184" s="117"/>
      <c r="N184" s="117"/>
      <c r="O184" s="117"/>
      <c r="P184" s="112"/>
      <c r="Q184" s="28"/>
    </row>
    <row r="185" spans="1:17" s="128" customFormat="1" ht="10.5">
      <c r="A185" s="121"/>
      <c r="B185" s="121"/>
      <c r="C185" s="121"/>
      <c r="D185" s="129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7"/>
    </row>
    <row r="186" spans="1:17" s="29" customFormat="1" ht="10.5">
      <c r="A186" s="101"/>
      <c r="B186" s="101"/>
      <c r="C186" s="101"/>
      <c r="D186" s="1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28"/>
    </row>
    <row r="187" spans="1:17" s="29" customFormat="1" ht="10.5">
      <c r="A187" s="115"/>
      <c r="B187" s="115"/>
      <c r="C187" s="115"/>
      <c r="D187" s="116"/>
      <c r="E187" s="112"/>
      <c r="F187" s="112"/>
      <c r="G187" s="117"/>
      <c r="H187" s="117"/>
      <c r="I187" s="117"/>
      <c r="J187" s="117"/>
      <c r="K187" s="117"/>
      <c r="L187" s="117"/>
      <c r="M187" s="117"/>
      <c r="N187" s="117"/>
      <c r="O187" s="117"/>
      <c r="P187" s="112"/>
      <c r="Q187" s="28"/>
    </row>
    <row r="188" spans="1:17" s="29" customFormat="1" ht="10.5">
      <c r="A188" s="115"/>
      <c r="B188" s="115"/>
      <c r="C188" s="115"/>
      <c r="D188" s="116"/>
      <c r="E188" s="112"/>
      <c r="F188" s="112"/>
      <c r="G188" s="117"/>
      <c r="H188" s="117"/>
      <c r="I188" s="117"/>
      <c r="J188" s="117"/>
      <c r="K188" s="117"/>
      <c r="L188" s="117"/>
      <c r="M188" s="117"/>
      <c r="N188" s="117"/>
      <c r="O188" s="117"/>
      <c r="P188" s="112"/>
      <c r="Q188" s="28"/>
    </row>
    <row r="189" spans="1:17" s="128" customFormat="1" ht="10.5">
      <c r="A189" s="121"/>
      <c r="B189" s="121"/>
      <c r="C189" s="121"/>
      <c r="D189" s="130"/>
      <c r="E189" s="122"/>
      <c r="F189" s="122"/>
      <c r="G189" s="131"/>
      <c r="H189" s="131"/>
      <c r="I189" s="131"/>
      <c r="J189" s="131"/>
      <c r="K189" s="131"/>
      <c r="L189" s="131"/>
      <c r="M189" s="131"/>
      <c r="N189" s="131"/>
      <c r="O189" s="131"/>
      <c r="P189" s="122"/>
      <c r="Q189" s="127"/>
    </row>
    <row r="190" spans="1:17" s="29" customFormat="1" ht="10.5">
      <c r="A190" s="132"/>
      <c r="B190" s="132"/>
      <c r="C190" s="132"/>
      <c r="D190" s="19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28"/>
    </row>
    <row r="191" spans="1:17" s="29" customFormat="1" ht="10.5">
      <c r="A191" s="119"/>
      <c r="B191" s="119"/>
      <c r="C191" s="119"/>
      <c r="D191" s="19"/>
      <c r="E191" s="112"/>
      <c r="F191" s="112"/>
      <c r="G191" s="117"/>
      <c r="H191" s="126"/>
      <c r="I191" s="126"/>
      <c r="J191" s="117"/>
      <c r="K191" s="117"/>
      <c r="L191" s="117"/>
      <c r="M191" s="117"/>
      <c r="N191" s="117"/>
      <c r="O191" s="117"/>
      <c r="P191" s="112"/>
      <c r="Q191" s="28"/>
    </row>
    <row r="192" spans="1:17" s="29" customFormat="1" ht="10.5">
      <c r="A192" s="119"/>
      <c r="B192" s="119"/>
      <c r="C192" s="119"/>
      <c r="D192" s="19"/>
      <c r="E192" s="112"/>
      <c r="F192" s="112"/>
      <c r="G192" s="117"/>
      <c r="H192" s="117"/>
      <c r="I192" s="117"/>
      <c r="J192" s="117"/>
      <c r="K192" s="117"/>
      <c r="L192" s="117"/>
      <c r="M192" s="117"/>
      <c r="N192" s="117"/>
      <c r="O192" s="117"/>
      <c r="P192" s="112"/>
      <c r="Q192" s="28"/>
    </row>
    <row r="193" spans="1:17" s="29" customFormat="1" ht="10.5">
      <c r="A193" s="119"/>
      <c r="B193" s="119"/>
      <c r="C193" s="119"/>
      <c r="D193" s="19"/>
      <c r="E193" s="112"/>
      <c r="F193" s="112"/>
      <c r="G193" s="117"/>
      <c r="H193" s="126"/>
      <c r="I193" s="126"/>
      <c r="J193" s="117"/>
      <c r="K193" s="117"/>
      <c r="L193" s="117"/>
      <c r="M193" s="117"/>
      <c r="N193" s="117"/>
      <c r="O193" s="117"/>
      <c r="P193" s="112"/>
      <c r="Q193" s="28"/>
    </row>
    <row r="194" spans="1:17" s="29" customFormat="1" ht="10.5">
      <c r="A194" s="119"/>
      <c r="B194" s="119"/>
      <c r="C194" s="119"/>
      <c r="D194" s="133"/>
      <c r="E194" s="112"/>
      <c r="F194" s="112"/>
      <c r="G194" s="117"/>
      <c r="H194" s="126"/>
      <c r="I194" s="126"/>
      <c r="J194" s="117"/>
      <c r="K194" s="117"/>
      <c r="L194" s="117"/>
      <c r="M194" s="117"/>
      <c r="N194" s="117"/>
      <c r="O194" s="117"/>
      <c r="P194" s="112"/>
      <c r="Q194" s="28"/>
    </row>
    <row r="195" spans="1:17" s="29" customFormat="1" ht="10.5">
      <c r="A195" s="119"/>
      <c r="B195" s="119"/>
      <c r="C195" s="119"/>
      <c r="D195" s="133"/>
      <c r="E195" s="112"/>
      <c r="F195" s="112"/>
      <c r="G195" s="117"/>
      <c r="H195" s="126"/>
      <c r="I195" s="126"/>
      <c r="J195" s="117"/>
      <c r="K195" s="117"/>
      <c r="L195" s="117"/>
      <c r="M195" s="117"/>
      <c r="N195" s="117"/>
      <c r="O195" s="117"/>
      <c r="P195" s="112"/>
      <c r="Q195" s="28"/>
    </row>
    <row r="196" spans="1:17" s="29" customFormat="1" ht="10.5">
      <c r="A196" s="119"/>
      <c r="B196" s="119"/>
      <c r="C196" s="119"/>
      <c r="D196" s="19"/>
      <c r="E196" s="112"/>
      <c r="F196" s="112"/>
      <c r="G196" s="117"/>
      <c r="H196" s="126"/>
      <c r="I196" s="126"/>
      <c r="J196" s="117"/>
      <c r="K196" s="117"/>
      <c r="L196" s="117"/>
      <c r="M196" s="117"/>
      <c r="N196" s="117"/>
      <c r="O196" s="117"/>
      <c r="P196" s="112"/>
      <c r="Q196" s="28"/>
    </row>
    <row r="197" spans="1:17" s="29" customFormat="1" ht="10.5">
      <c r="A197" s="119"/>
      <c r="B197" s="119"/>
      <c r="C197" s="119"/>
      <c r="D197" s="19"/>
      <c r="E197" s="112"/>
      <c r="F197" s="112"/>
      <c r="G197" s="117"/>
      <c r="H197" s="126"/>
      <c r="I197" s="126"/>
      <c r="J197" s="117"/>
      <c r="K197" s="117"/>
      <c r="L197" s="117"/>
      <c r="M197" s="117"/>
      <c r="N197" s="117"/>
      <c r="O197" s="117"/>
      <c r="P197" s="112"/>
      <c r="Q197" s="28"/>
    </row>
    <row r="198" spans="1:17" s="29" customFormat="1" ht="10.5">
      <c r="A198" s="119"/>
      <c r="B198" s="119"/>
      <c r="C198" s="119"/>
      <c r="D198" s="19"/>
      <c r="E198" s="112"/>
      <c r="F198" s="112"/>
      <c r="G198" s="117"/>
      <c r="H198" s="126"/>
      <c r="I198" s="126"/>
      <c r="J198" s="117"/>
      <c r="K198" s="117"/>
      <c r="L198" s="117"/>
      <c r="M198" s="117"/>
      <c r="N198" s="117"/>
      <c r="O198" s="117"/>
      <c r="P198" s="112"/>
      <c r="Q198" s="28"/>
    </row>
    <row r="199" spans="1:17" s="29" customFormat="1" ht="10.5">
      <c r="A199" s="119"/>
      <c r="B199" s="119"/>
      <c r="C199" s="119"/>
      <c r="D199" s="19"/>
      <c r="E199" s="112"/>
      <c r="F199" s="112"/>
      <c r="G199" s="117"/>
      <c r="H199" s="126"/>
      <c r="I199" s="126"/>
      <c r="J199" s="117"/>
      <c r="K199" s="117"/>
      <c r="L199" s="117"/>
      <c r="M199" s="117"/>
      <c r="N199" s="117"/>
      <c r="O199" s="117"/>
      <c r="P199" s="112"/>
      <c r="Q199" s="28"/>
    </row>
    <row r="200" spans="1:17" s="29" customFormat="1" ht="10.5">
      <c r="A200" s="119"/>
      <c r="B200" s="119"/>
      <c r="C200" s="119"/>
      <c r="D200" s="19"/>
      <c r="E200" s="112"/>
      <c r="F200" s="112"/>
      <c r="G200" s="117"/>
      <c r="H200" s="126"/>
      <c r="I200" s="126"/>
      <c r="J200" s="117"/>
      <c r="K200" s="117"/>
      <c r="L200" s="117"/>
      <c r="M200" s="117"/>
      <c r="N200" s="117"/>
      <c r="O200" s="117"/>
      <c r="P200" s="112"/>
      <c r="Q200" s="28"/>
    </row>
    <row r="201" spans="1:17" s="29" customFormat="1" ht="10.5">
      <c r="A201" s="119"/>
      <c r="B201" s="119"/>
      <c r="C201" s="119"/>
      <c r="D201" s="19"/>
      <c r="E201" s="112"/>
      <c r="F201" s="112"/>
      <c r="G201" s="117"/>
      <c r="H201" s="126"/>
      <c r="I201" s="126"/>
      <c r="J201" s="117"/>
      <c r="K201" s="117"/>
      <c r="L201" s="117"/>
      <c r="M201" s="117"/>
      <c r="N201" s="117"/>
      <c r="O201" s="117"/>
      <c r="P201" s="112"/>
      <c r="Q201" s="28"/>
    </row>
    <row r="202" spans="1:17" s="29" customFormat="1" ht="10.5">
      <c r="A202" s="119"/>
      <c r="B202" s="119"/>
      <c r="C202" s="119"/>
      <c r="D202" s="19"/>
      <c r="E202" s="112"/>
      <c r="F202" s="112"/>
      <c r="G202" s="117"/>
      <c r="H202" s="126"/>
      <c r="I202" s="126"/>
      <c r="J202" s="117"/>
      <c r="K202" s="117"/>
      <c r="L202" s="117"/>
      <c r="M202" s="117"/>
      <c r="N202" s="117"/>
      <c r="O202" s="117"/>
      <c r="P202" s="112"/>
      <c r="Q202" s="28"/>
    </row>
    <row r="203" spans="1:17" s="29" customFormat="1" ht="10.5">
      <c r="A203" s="119"/>
      <c r="B203" s="119"/>
      <c r="C203" s="119"/>
      <c r="D203" s="19"/>
      <c r="E203" s="112"/>
      <c r="F203" s="112"/>
      <c r="G203" s="117"/>
      <c r="H203" s="126"/>
      <c r="I203" s="126"/>
      <c r="J203" s="117"/>
      <c r="K203" s="117"/>
      <c r="L203" s="117"/>
      <c r="M203" s="117"/>
      <c r="N203" s="117"/>
      <c r="O203" s="117"/>
      <c r="P203" s="112"/>
      <c r="Q203" s="28"/>
    </row>
    <row r="204" spans="1:17" s="29" customFormat="1" ht="10.5">
      <c r="A204" s="119"/>
      <c r="B204" s="119"/>
      <c r="C204" s="119"/>
      <c r="D204" s="19"/>
      <c r="E204" s="112"/>
      <c r="F204" s="112"/>
      <c r="G204" s="117"/>
      <c r="H204" s="126"/>
      <c r="I204" s="126"/>
      <c r="J204" s="117"/>
      <c r="K204" s="117"/>
      <c r="L204" s="117"/>
      <c r="M204" s="117"/>
      <c r="N204" s="117"/>
      <c r="O204" s="117"/>
      <c r="P204" s="112"/>
      <c r="Q204" s="28"/>
    </row>
    <row r="205" spans="1:17" s="29" customFormat="1" ht="10.5">
      <c r="A205" s="119"/>
      <c r="B205" s="119"/>
      <c r="C205" s="119"/>
      <c r="D205" s="19"/>
      <c r="E205" s="112"/>
      <c r="F205" s="112"/>
      <c r="G205" s="117"/>
      <c r="H205" s="126"/>
      <c r="I205" s="126"/>
      <c r="J205" s="117"/>
      <c r="K205" s="117"/>
      <c r="L205" s="117"/>
      <c r="M205" s="117"/>
      <c r="N205" s="117"/>
      <c r="O205" s="117"/>
      <c r="P205" s="112"/>
      <c r="Q205" s="28"/>
    </row>
    <row r="206" spans="1:17" s="29" customFormat="1" ht="10.5">
      <c r="A206" s="119"/>
      <c r="B206" s="119"/>
      <c r="C206" s="119"/>
      <c r="D206" s="19"/>
      <c r="E206" s="112"/>
      <c r="F206" s="112"/>
      <c r="G206" s="117"/>
      <c r="H206" s="126"/>
      <c r="I206" s="126"/>
      <c r="J206" s="117"/>
      <c r="K206" s="117"/>
      <c r="L206" s="117"/>
      <c r="M206" s="117"/>
      <c r="N206" s="117"/>
      <c r="O206" s="117"/>
      <c r="P206" s="112"/>
      <c r="Q206" s="28"/>
    </row>
    <row r="207" spans="1:17" s="29" customFormat="1" ht="10.5">
      <c r="A207" s="119"/>
      <c r="B207" s="119"/>
      <c r="C207" s="119"/>
      <c r="D207" s="19"/>
      <c r="E207" s="112"/>
      <c r="F207" s="112"/>
      <c r="G207" s="117"/>
      <c r="H207" s="126"/>
      <c r="I207" s="126"/>
      <c r="J207" s="117"/>
      <c r="K207" s="117"/>
      <c r="L207" s="117"/>
      <c r="M207" s="117"/>
      <c r="N207" s="117"/>
      <c r="O207" s="117"/>
      <c r="P207" s="112"/>
      <c r="Q207" s="28"/>
    </row>
    <row r="208" spans="1:17" s="29" customFormat="1" ht="10.5">
      <c r="A208" s="119"/>
      <c r="B208" s="119"/>
      <c r="C208" s="119"/>
      <c r="D208" s="19"/>
      <c r="E208" s="112"/>
      <c r="F208" s="112"/>
      <c r="G208" s="117"/>
      <c r="H208" s="126"/>
      <c r="I208" s="126"/>
      <c r="J208" s="117"/>
      <c r="K208" s="117"/>
      <c r="L208" s="117"/>
      <c r="M208" s="117"/>
      <c r="N208" s="117"/>
      <c r="O208" s="117"/>
      <c r="P208" s="112"/>
      <c r="Q208" s="28"/>
    </row>
    <row r="209" spans="1:17" s="29" customFormat="1" ht="10.5">
      <c r="A209" s="119"/>
      <c r="B209" s="119"/>
      <c r="C209" s="119"/>
      <c r="D209" s="19"/>
      <c r="E209" s="112"/>
      <c r="F209" s="112"/>
      <c r="G209" s="117"/>
      <c r="H209" s="126"/>
      <c r="I209" s="126"/>
      <c r="J209" s="117"/>
      <c r="K209" s="117"/>
      <c r="L209" s="117"/>
      <c r="M209" s="117"/>
      <c r="N209" s="117"/>
      <c r="O209" s="117"/>
      <c r="P209" s="112"/>
      <c r="Q209" s="28"/>
    </row>
    <row r="210" spans="1:17" s="29" customFormat="1" ht="10.5">
      <c r="A210" s="119"/>
      <c r="B210" s="119"/>
      <c r="C210" s="119"/>
      <c r="D210" s="19"/>
      <c r="E210" s="112"/>
      <c r="F210" s="112"/>
      <c r="G210" s="117"/>
      <c r="H210" s="126"/>
      <c r="I210" s="126"/>
      <c r="J210" s="117"/>
      <c r="K210" s="117"/>
      <c r="L210" s="117"/>
      <c r="M210" s="117"/>
      <c r="N210" s="117"/>
      <c r="O210" s="117"/>
      <c r="P210" s="112"/>
      <c r="Q210" s="28"/>
    </row>
    <row r="211" spans="1:17" s="29" customFormat="1" ht="10.5">
      <c r="A211" s="119"/>
      <c r="B211" s="119"/>
      <c r="C211" s="119"/>
      <c r="D211" s="19"/>
      <c r="E211" s="112"/>
      <c r="F211" s="112"/>
      <c r="G211" s="117"/>
      <c r="H211" s="126"/>
      <c r="I211" s="126"/>
      <c r="J211" s="117"/>
      <c r="K211" s="117"/>
      <c r="L211" s="117"/>
      <c r="M211" s="117"/>
      <c r="N211" s="117"/>
      <c r="O211" s="117"/>
      <c r="P211" s="112"/>
      <c r="Q211" s="28"/>
    </row>
    <row r="212" spans="1:17" s="29" customFormat="1" ht="10.5">
      <c r="A212" s="119"/>
      <c r="B212" s="119"/>
      <c r="C212" s="119"/>
      <c r="D212" s="19"/>
      <c r="E212" s="112"/>
      <c r="F212" s="112"/>
      <c r="G212" s="117"/>
      <c r="H212" s="126"/>
      <c r="I212" s="126"/>
      <c r="J212" s="117"/>
      <c r="K212" s="117"/>
      <c r="L212" s="117"/>
      <c r="M212" s="117"/>
      <c r="N212" s="117"/>
      <c r="O212" s="117"/>
      <c r="P212" s="112"/>
      <c r="Q212" s="28"/>
    </row>
    <row r="213" spans="1:17" s="29" customFormat="1" ht="10.5">
      <c r="A213" s="119"/>
      <c r="B213" s="119"/>
      <c r="C213" s="119"/>
      <c r="D213" s="19"/>
      <c r="E213" s="112"/>
      <c r="F213" s="112"/>
      <c r="G213" s="117"/>
      <c r="H213" s="126"/>
      <c r="I213" s="126"/>
      <c r="J213" s="117"/>
      <c r="K213" s="117"/>
      <c r="L213" s="117"/>
      <c r="M213" s="117"/>
      <c r="N213" s="117"/>
      <c r="O213" s="117"/>
      <c r="P213" s="112"/>
      <c r="Q213" s="28"/>
    </row>
    <row r="214" spans="1:17" s="29" customFormat="1" ht="10.5">
      <c r="A214" s="119"/>
      <c r="B214" s="119"/>
      <c r="C214" s="119"/>
      <c r="D214" s="19"/>
      <c r="E214" s="112"/>
      <c r="F214" s="112"/>
      <c r="G214" s="117"/>
      <c r="H214" s="126"/>
      <c r="I214" s="126"/>
      <c r="J214" s="117"/>
      <c r="K214" s="117"/>
      <c r="L214" s="117"/>
      <c r="M214" s="117"/>
      <c r="N214" s="117"/>
      <c r="O214" s="117"/>
      <c r="P214" s="112"/>
      <c r="Q214" s="28"/>
    </row>
    <row r="215" spans="1:17" s="29" customFormat="1" ht="10.5">
      <c r="A215" s="119"/>
      <c r="B215" s="119"/>
      <c r="C215" s="119"/>
      <c r="D215" s="19"/>
      <c r="E215" s="112"/>
      <c r="F215" s="112"/>
      <c r="G215" s="117"/>
      <c r="H215" s="126"/>
      <c r="I215" s="126"/>
      <c r="J215" s="117"/>
      <c r="K215" s="117"/>
      <c r="L215" s="117"/>
      <c r="M215" s="117"/>
      <c r="N215" s="117"/>
      <c r="O215" s="117"/>
      <c r="P215" s="112"/>
      <c r="Q215" s="28"/>
    </row>
    <row r="216" spans="1:17" s="29" customFormat="1" ht="10.5">
      <c r="A216" s="119"/>
      <c r="B216" s="119"/>
      <c r="C216" s="119"/>
      <c r="D216" s="19"/>
      <c r="E216" s="112"/>
      <c r="F216" s="112"/>
      <c r="G216" s="117"/>
      <c r="H216" s="126"/>
      <c r="I216" s="126"/>
      <c r="J216" s="117"/>
      <c r="K216" s="117"/>
      <c r="L216" s="117"/>
      <c r="M216" s="117"/>
      <c r="N216" s="117"/>
      <c r="O216" s="117"/>
      <c r="P216" s="112"/>
      <c r="Q216" s="28"/>
    </row>
    <row r="217" spans="1:17" s="29" customFormat="1" ht="10.5">
      <c r="A217" s="119"/>
      <c r="B217" s="119"/>
      <c r="C217" s="119"/>
      <c r="D217" s="19"/>
      <c r="E217" s="112"/>
      <c r="F217" s="112"/>
      <c r="G217" s="117"/>
      <c r="H217" s="126"/>
      <c r="I217" s="126"/>
      <c r="J217" s="117"/>
      <c r="K217" s="117"/>
      <c r="L217" s="117"/>
      <c r="M217" s="117"/>
      <c r="N217" s="117"/>
      <c r="O217" s="117"/>
      <c r="P217" s="112"/>
      <c r="Q217" s="28"/>
    </row>
    <row r="218" spans="1:17" s="29" customFormat="1" ht="10.5">
      <c r="A218" s="119"/>
      <c r="B218" s="119"/>
      <c r="C218" s="119"/>
      <c r="D218" s="19"/>
      <c r="E218" s="112"/>
      <c r="F218" s="112"/>
      <c r="G218" s="117"/>
      <c r="H218" s="126"/>
      <c r="I218" s="126"/>
      <c r="J218" s="117"/>
      <c r="K218" s="117"/>
      <c r="L218" s="117"/>
      <c r="M218" s="117"/>
      <c r="N218" s="117"/>
      <c r="O218" s="117"/>
      <c r="P218" s="112"/>
      <c r="Q218" s="28"/>
    </row>
    <row r="219" spans="1:17" s="29" customFormat="1" ht="10.5">
      <c r="A219" s="119"/>
      <c r="B219" s="119"/>
      <c r="C219" s="119"/>
      <c r="D219" s="19"/>
      <c r="E219" s="112"/>
      <c r="F219" s="112"/>
      <c r="G219" s="117"/>
      <c r="H219" s="126"/>
      <c r="I219" s="126"/>
      <c r="J219" s="117"/>
      <c r="K219" s="117"/>
      <c r="L219" s="117"/>
      <c r="M219" s="117"/>
      <c r="N219" s="117"/>
      <c r="O219" s="117"/>
      <c r="P219" s="112"/>
      <c r="Q219" s="28"/>
    </row>
    <row r="220" spans="1:17" s="29" customFormat="1" ht="10.5">
      <c r="A220" s="119"/>
      <c r="B220" s="119"/>
      <c r="C220" s="119"/>
      <c r="D220" s="19"/>
      <c r="E220" s="112"/>
      <c r="F220" s="112"/>
      <c r="G220" s="117"/>
      <c r="H220" s="126"/>
      <c r="I220" s="126"/>
      <c r="J220" s="117"/>
      <c r="K220" s="117"/>
      <c r="L220" s="117"/>
      <c r="M220" s="117"/>
      <c r="N220" s="117"/>
      <c r="O220" s="117"/>
      <c r="P220" s="112"/>
      <c r="Q220" s="28"/>
    </row>
    <row r="221" spans="1:17" s="29" customFormat="1" ht="10.5">
      <c r="A221" s="119"/>
      <c r="B221" s="119"/>
      <c r="C221" s="119"/>
      <c r="D221" s="19"/>
      <c r="E221" s="112"/>
      <c r="F221" s="112"/>
      <c r="G221" s="117"/>
      <c r="H221" s="126"/>
      <c r="I221" s="126"/>
      <c r="J221" s="117"/>
      <c r="K221" s="117"/>
      <c r="L221" s="117"/>
      <c r="M221" s="117"/>
      <c r="N221" s="117"/>
      <c r="O221" s="117"/>
      <c r="P221" s="112"/>
      <c r="Q221" s="28"/>
    </row>
    <row r="222" spans="1:17" s="29" customFormat="1" ht="10.5">
      <c r="A222" s="119"/>
      <c r="B222" s="119"/>
      <c r="C222" s="119"/>
      <c r="D222" s="19"/>
      <c r="E222" s="112"/>
      <c r="F222" s="112"/>
      <c r="G222" s="117"/>
      <c r="H222" s="126"/>
      <c r="I222" s="126"/>
      <c r="J222" s="117"/>
      <c r="K222" s="117"/>
      <c r="L222" s="117"/>
      <c r="M222" s="117"/>
      <c r="N222" s="117"/>
      <c r="O222" s="117"/>
      <c r="P222" s="112"/>
      <c r="Q222" s="28"/>
    </row>
    <row r="223" spans="1:17" s="29" customFormat="1" ht="10.5">
      <c r="A223" s="119"/>
      <c r="B223" s="119"/>
      <c r="C223" s="119"/>
      <c r="D223" s="19"/>
      <c r="E223" s="112"/>
      <c r="F223" s="112"/>
      <c r="G223" s="117"/>
      <c r="H223" s="126"/>
      <c r="I223" s="126"/>
      <c r="J223" s="117"/>
      <c r="K223" s="117"/>
      <c r="L223" s="117"/>
      <c r="M223" s="117"/>
      <c r="N223" s="117"/>
      <c r="O223" s="117"/>
      <c r="P223" s="112"/>
      <c r="Q223" s="28"/>
    </row>
    <row r="224" spans="1:17" s="29" customFormat="1" ht="10.5">
      <c r="A224" s="119"/>
      <c r="B224" s="119"/>
      <c r="C224" s="119"/>
      <c r="D224" s="19"/>
      <c r="E224" s="112"/>
      <c r="F224" s="112"/>
      <c r="G224" s="117"/>
      <c r="H224" s="126"/>
      <c r="I224" s="126"/>
      <c r="J224" s="117"/>
      <c r="K224" s="117"/>
      <c r="L224" s="117"/>
      <c r="M224" s="117"/>
      <c r="N224" s="117"/>
      <c r="O224" s="117"/>
      <c r="P224" s="112"/>
      <c r="Q224" s="28"/>
    </row>
    <row r="225" spans="1:17" s="29" customFormat="1" ht="10.5">
      <c r="A225" s="119"/>
      <c r="B225" s="119"/>
      <c r="C225" s="119"/>
      <c r="D225" s="19"/>
      <c r="E225" s="112"/>
      <c r="F225" s="112"/>
      <c r="G225" s="117"/>
      <c r="H225" s="126"/>
      <c r="I225" s="126"/>
      <c r="J225" s="117"/>
      <c r="K225" s="117"/>
      <c r="L225" s="117"/>
      <c r="M225" s="117"/>
      <c r="N225" s="117"/>
      <c r="O225" s="117"/>
      <c r="P225" s="112"/>
      <c r="Q225" s="28"/>
    </row>
    <row r="226" spans="1:17" s="29" customFormat="1" ht="10.5">
      <c r="A226" s="119"/>
      <c r="B226" s="119"/>
      <c r="C226" s="119"/>
      <c r="D226" s="19"/>
      <c r="E226" s="112"/>
      <c r="F226" s="112"/>
      <c r="G226" s="117"/>
      <c r="H226" s="126"/>
      <c r="I226" s="126"/>
      <c r="J226" s="117"/>
      <c r="K226" s="117"/>
      <c r="L226" s="117"/>
      <c r="M226" s="117"/>
      <c r="N226" s="117"/>
      <c r="O226" s="117"/>
      <c r="P226" s="112"/>
      <c r="Q226" s="28"/>
    </row>
    <row r="227" spans="1:17" s="29" customFormat="1" ht="10.5">
      <c r="A227" s="119"/>
      <c r="B227" s="119"/>
      <c r="C227" s="119"/>
      <c r="D227" s="19"/>
      <c r="E227" s="112"/>
      <c r="F227" s="112"/>
      <c r="G227" s="117"/>
      <c r="H227" s="126"/>
      <c r="I227" s="126"/>
      <c r="J227" s="117"/>
      <c r="K227" s="117"/>
      <c r="L227" s="117"/>
      <c r="M227" s="117"/>
      <c r="N227" s="117"/>
      <c r="O227" s="117"/>
      <c r="P227" s="112"/>
      <c r="Q227" s="28"/>
    </row>
    <row r="228" spans="1:17" s="29" customFormat="1" ht="10.5">
      <c r="A228" s="119"/>
      <c r="B228" s="119"/>
      <c r="C228" s="119"/>
      <c r="D228" s="19"/>
      <c r="E228" s="112"/>
      <c r="F228" s="112"/>
      <c r="G228" s="117"/>
      <c r="H228" s="126"/>
      <c r="I228" s="126"/>
      <c r="J228" s="117"/>
      <c r="K228" s="117"/>
      <c r="L228" s="117"/>
      <c r="M228" s="117"/>
      <c r="N228" s="117"/>
      <c r="O228" s="117"/>
      <c r="P228" s="112"/>
      <c r="Q228" s="28"/>
    </row>
    <row r="229" spans="1:17" s="29" customFormat="1" ht="10.5">
      <c r="A229" s="119"/>
      <c r="B229" s="119"/>
      <c r="C229" s="119"/>
      <c r="D229" s="19"/>
      <c r="E229" s="112"/>
      <c r="F229" s="112"/>
      <c r="G229" s="117"/>
      <c r="H229" s="126"/>
      <c r="I229" s="126"/>
      <c r="J229" s="117"/>
      <c r="K229" s="117"/>
      <c r="L229" s="117"/>
      <c r="M229" s="117"/>
      <c r="N229" s="117"/>
      <c r="O229" s="117"/>
      <c r="P229" s="112"/>
      <c r="Q229" s="28"/>
    </row>
    <row r="230" spans="1:17" s="29" customFormat="1" ht="10.5">
      <c r="A230" s="119"/>
      <c r="B230" s="119"/>
      <c r="C230" s="119"/>
      <c r="D230" s="19"/>
      <c r="E230" s="112"/>
      <c r="F230" s="112"/>
      <c r="G230" s="117"/>
      <c r="H230" s="126"/>
      <c r="I230" s="126"/>
      <c r="J230" s="117"/>
      <c r="K230" s="117"/>
      <c r="L230" s="117"/>
      <c r="M230" s="117"/>
      <c r="N230" s="117"/>
      <c r="O230" s="117"/>
      <c r="P230" s="112"/>
      <c r="Q230" s="28"/>
    </row>
    <row r="231" spans="1:17" s="29" customFormat="1" ht="10.5">
      <c r="A231" s="119"/>
      <c r="B231" s="119"/>
      <c r="C231" s="119"/>
      <c r="D231" s="19"/>
      <c r="E231" s="112"/>
      <c r="F231" s="112"/>
      <c r="G231" s="117"/>
      <c r="H231" s="126"/>
      <c r="I231" s="126"/>
      <c r="J231" s="117"/>
      <c r="K231" s="117"/>
      <c r="L231" s="117"/>
      <c r="M231" s="117"/>
      <c r="N231" s="117"/>
      <c r="O231" s="117"/>
      <c r="P231" s="112"/>
      <c r="Q231" s="28"/>
    </row>
    <row r="232" spans="1:17" s="29" customFormat="1" ht="10.5">
      <c r="A232" s="119"/>
      <c r="B232" s="119"/>
      <c r="C232" s="119"/>
      <c r="D232" s="19"/>
      <c r="E232" s="112"/>
      <c r="F232" s="112"/>
      <c r="G232" s="117"/>
      <c r="H232" s="126"/>
      <c r="I232" s="126"/>
      <c r="J232" s="117"/>
      <c r="K232" s="117"/>
      <c r="L232" s="117"/>
      <c r="M232" s="117"/>
      <c r="N232" s="117"/>
      <c r="O232" s="117"/>
      <c r="P232" s="112"/>
      <c r="Q232" s="28"/>
    </row>
  </sheetData>
  <sheetProtection selectLockedCells="1" selectUnlockedCells="1"/>
  <mergeCells count="30">
    <mergeCell ref="O2:P2"/>
    <mergeCell ref="O3:P3"/>
    <mergeCell ref="O4:P4"/>
    <mergeCell ref="A6:P6"/>
    <mergeCell ref="A7:P7"/>
    <mergeCell ref="A9:A11"/>
    <mergeCell ref="B9:B11"/>
    <mergeCell ref="C9:C11"/>
    <mergeCell ref="D9:D11"/>
    <mergeCell ref="E9:I9"/>
    <mergeCell ref="J9:O9"/>
    <mergeCell ref="P9:P11"/>
    <mergeCell ref="E10:E11"/>
    <mergeCell ref="F10:F11"/>
    <mergeCell ref="G10:H10"/>
    <mergeCell ref="I10:I11"/>
    <mergeCell ref="J10:J11"/>
    <mergeCell ref="K10:K11"/>
    <mergeCell ref="L10:L11"/>
    <mergeCell ref="M10:N10"/>
    <mergeCell ref="O10:O11"/>
    <mergeCell ref="A18:A20"/>
    <mergeCell ref="B18:B20"/>
    <mergeCell ref="C18:C20"/>
    <mergeCell ref="A44:A46"/>
    <mergeCell ref="B44:B46"/>
    <mergeCell ref="C44:C46"/>
    <mergeCell ref="D105:F105"/>
    <mergeCell ref="N105:O105"/>
    <mergeCell ref="D106:F106"/>
  </mergeCells>
  <printOptions/>
  <pageMargins left="0.5" right="0.27569444444444446" top="0.679861111111111" bottom="0.95" header="0.4097222222222222" footer="0.5118055555555555"/>
  <pageSetup fitToHeight="2" fitToWidth="1" horizontalDpi="300" verticalDpi="300" orientation="landscape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/>
  <cp:lastPrinted>2019-12-16T06:40:31Z</cp:lastPrinted>
  <dcterms:created xsi:type="dcterms:W3CDTF">2000-09-14T12:29:39Z</dcterms:created>
  <dcterms:modified xsi:type="dcterms:W3CDTF">2019-12-19T10:16:06Z</dcterms:modified>
  <cp:category/>
  <cp:version/>
  <cp:contentType/>
  <cp:contentStatus/>
  <cp:revision>1</cp:revision>
</cp:coreProperties>
</file>